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8"/>
  <workbookPr/>
  <mc:AlternateContent xmlns:mc="http://schemas.openxmlformats.org/markup-compatibility/2006">
    <mc:Choice Requires="x15">
      <x15ac:absPath xmlns:x15ac="http://schemas.microsoft.com/office/spreadsheetml/2010/11/ac" url="/Users/boj15/Box Sync/Default Sync Folder/Dropbox/Kurs i experimentdesign/statdistansv20/Kursmapp/avsnitt6/exempel-sid243/"/>
    </mc:Choice>
  </mc:AlternateContent>
  <xr:revisionPtr revIDLastSave="0" documentId="13_ncr:1_{521D8AE9-57FA-E744-A941-EE5C14803676}" xr6:coauthVersionLast="36" xr6:coauthVersionMax="36" xr10:uidLastSave="{00000000-0000-0000-0000-000000000000}"/>
  <bookViews>
    <workbookView xWindow="1860" yWindow="1900" windowWidth="34540" windowHeight="20960" tabRatio="500" xr2:uid="{00000000-000D-0000-FFFF-FFFF00000000}"/>
  </bookViews>
  <sheets>
    <sheet name="Skiss experimentutformning" sheetId="4" r:id="rId1"/>
    <sheet name="Tabell 9.1, 9.4, 9.5 och 9.6" sheetId="1" r:id="rId2"/>
    <sheet name="Tabell 9.4 alt. II  o R skript" sheetId="2" r:id="rId3"/>
    <sheet name="Blad1" sheetId="3" r:id="rId4"/>
  </sheet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H97" i="1" l="1"/>
  <c r="AG97" i="1"/>
  <c r="T90" i="1"/>
  <c r="AC94" i="1"/>
  <c r="G93" i="2" l="1"/>
  <c r="G91" i="2"/>
  <c r="AI98" i="1"/>
  <c r="AI97" i="1"/>
  <c r="AA92" i="1"/>
  <c r="T97" i="1" l="1"/>
  <c r="T68" i="1"/>
  <c r="Q10" i="3" l="1"/>
  <c r="P10" i="3"/>
  <c r="O10" i="3"/>
  <c r="N10" i="3"/>
  <c r="M10" i="3"/>
  <c r="L10" i="3"/>
  <c r="K10" i="3"/>
  <c r="J10" i="3"/>
  <c r="I10" i="3"/>
  <c r="H10" i="3"/>
  <c r="G10" i="3"/>
  <c r="F10" i="3"/>
  <c r="E10" i="3"/>
  <c r="D10" i="3"/>
  <c r="C10" i="3"/>
  <c r="E22" i="1" l="1"/>
  <c r="J22" i="1"/>
  <c r="E63" i="1" s="1"/>
  <c r="O22" i="1"/>
  <c r="T81" i="1" s="1"/>
  <c r="J51" i="1"/>
  <c r="C20" i="1"/>
  <c r="D20" i="1"/>
  <c r="E20" i="1"/>
  <c r="F20" i="1"/>
  <c r="G20" i="1"/>
  <c r="H20" i="1"/>
  <c r="I20" i="1"/>
  <c r="J20" i="1"/>
  <c r="K20" i="1"/>
  <c r="L20" i="1"/>
  <c r="M20" i="1"/>
  <c r="N20" i="1"/>
  <c r="O20" i="1"/>
  <c r="P20" i="1"/>
  <c r="Q20" i="1"/>
  <c r="F51" i="1"/>
  <c r="H51" i="1"/>
  <c r="C104" i="2"/>
  <c r="D105" i="2" s="1"/>
  <c r="E103" i="2"/>
  <c r="D103" i="2"/>
  <c r="C103" i="2"/>
  <c r="E102" i="2"/>
  <c r="D102" i="2"/>
  <c r="C102" i="2"/>
  <c r="D93" i="2"/>
  <c r="E93" i="2" s="1"/>
  <c r="D96" i="2"/>
  <c r="C93" i="2"/>
  <c r="C96" i="2"/>
  <c r="E64" i="1"/>
  <c r="F64" i="1"/>
  <c r="D64" i="1"/>
  <c r="C58" i="1"/>
  <c r="D58" i="1"/>
  <c r="E58" i="1"/>
  <c r="F58" i="1"/>
  <c r="G58" i="1"/>
  <c r="H58" i="1"/>
  <c r="I58" i="1"/>
  <c r="J58" i="1"/>
  <c r="K58" i="1"/>
  <c r="L58" i="1"/>
  <c r="M58" i="1"/>
  <c r="N58" i="1"/>
  <c r="O58" i="1"/>
  <c r="P58" i="1"/>
  <c r="Q58" i="1"/>
  <c r="C21" i="1"/>
  <c r="D21" i="1"/>
  <c r="E21" i="1"/>
  <c r="F21" i="1"/>
  <c r="G21" i="1"/>
  <c r="H21" i="1"/>
  <c r="I21" i="1"/>
  <c r="J21" i="1"/>
  <c r="K21" i="1"/>
  <c r="L21" i="1"/>
  <c r="M21" i="1"/>
  <c r="N21" i="1"/>
  <c r="O21" i="1"/>
  <c r="P21" i="1"/>
  <c r="Q21" i="1"/>
  <c r="H54" i="1"/>
  <c r="J23" i="1"/>
  <c r="T66" i="1" l="1"/>
  <c r="T96" i="1"/>
  <c r="W94" i="1"/>
  <c r="W95" i="1"/>
  <c r="T63" i="1"/>
  <c r="V63" i="1" s="1"/>
  <c r="W93" i="1"/>
  <c r="U95" i="1"/>
  <c r="Y95" i="1" s="1"/>
  <c r="T92" i="1"/>
  <c r="T65" i="1"/>
  <c r="U93" i="1"/>
  <c r="U94" i="1"/>
  <c r="Y94" i="1" s="1"/>
  <c r="V92" i="1"/>
  <c r="U68" i="1"/>
  <c r="V90" i="1"/>
  <c r="V98" i="1" s="1"/>
  <c r="V97" i="1"/>
  <c r="U66" i="1"/>
  <c r="U65" i="1"/>
  <c r="U63" i="1"/>
  <c r="V96" i="1"/>
  <c r="I54" i="1"/>
  <c r="D65" i="1"/>
  <c r="E66" i="1" s="1"/>
  <c r="V81" i="1"/>
  <c r="U83" i="1" s="1"/>
  <c r="AG98" i="1"/>
  <c r="G54" i="1"/>
  <c r="U81" i="1"/>
  <c r="T83" i="1" s="1"/>
  <c r="D63" i="1"/>
  <c r="V66" i="1"/>
  <c r="U69" i="1"/>
  <c r="F93" i="2"/>
  <c r="F91" i="2"/>
  <c r="E105" i="2"/>
  <c r="F63" i="1"/>
  <c r="C105" i="2"/>
  <c r="F66" i="1" l="1"/>
  <c r="D66" i="1"/>
  <c r="T98" i="1"/>
  <c r="X90" i="1"/>
  <c r="AC96" i="1"/>
  <c r="AD96" i="1" s="1"/>
  <c r="Y93" i="1"/>
  <c r="AD94" i="1" s="1"/>
  <c r="U98" i="1"/>
  <c r="X96" i="1"/>
  <c r="T82" i="1"/>
  <c r="X92" i="1"/>
  <c r="Z92" i="1" s="1"/>
  <c r="T69" i="1"/>
  <c r="V65" i="1"/>
  <c r="AC95" i="1" l="1"/>
  <c r="AD95" i="1" s="1"/>
  <c r="AH98" i="1"/>
  <c r="Z90" i="1"/>
  <c r="AA90" i="1" s="1"/>
  <c r="W65" i="1"/>
  <c r="X65" i="1" s="1"/>
  <c r="U77" i="1"/>
  <c r="W63" i="1"/>
  <c r="X63" i="1" s="1"/>
  <c r="Y83" i="1" l="1"/>
  <c r="Y82" i="1"/>
</calcChain>
</file>

<file path=xl/sharedStrings.xml><?xml version="1.0" encoding="utf-8"?>
<sst xmlns="http://schemas.openxmlformats.org/spreadsheetml/2006/main" count="356" uniqueCount="208">
  <si>
    <t>Xbar</t>
  </si>
  <si>
    <t>Xbari</t>
  </si>
  <si>
    <t>Variance</t>
  </si>
  <si>
    <r>
      <t>Xbar</t>
    </r>
    <r>
      <rPr>
        <i/>
        <sz val="10"/>
        <rFont val="Verdana"/>
        <family val="2"/>
      </rPr>
      <t>j</t>
    </r>
    <r>
      <rPr>
        <sz val="12"/>
        <color theme="1"/>
        <rFont val="Calibri"/>
        <family val="2"/>
        <scheme val="minor"/>
      </rPr>
      <t>(</t>
    </r>
    <r>
      <rPr>
        <i/>
        <sz val="10"/>
        <rFont val="Verdana"/>
        <family val="2"/>
      </rPr>
      <t>i</t>
    </r>
    <r>
      <rPr>
        <sz val="12"/>
        <color theme="1"/>
        <rFont val="Calibri"/>
        <family val="2"/>
        <scheme val="minor"/>
      </rPr>
      <t>)</t>
    </r>
  </si>
  <si>
    <t>Cages</t>
  </si>
  <si>
    <t>Cages with openings</t>
  </si>
  <si>
    <t>Control</t>
  </si>
  <si>
    <r>
      <t>Treatment (</t>
    </r>
    <r>
      <rPr>
        <i/>
        <sz val="10"/>
        <rFont val="Verdana"/>
        <family val="2"/>
      </rPr>
      <t>i</t>
    </r>
    <r>
      <rPr>
        <sz val="12"/>
        <color theme="1"/>
        <rFont val="Calibri"/>
        <family val="2"/>
        <scheme val="minor"/>
      </rPr>
      <t>)</t>
    </r>
  </si>
  <si>
    <t>BoxPlotR (boxplot.tyerslab.com)</t>
  </si>
  <si>
    <t>Villkorsstyrd formatering med färgskalor (här ovan) och låddiagram här nedan ger en bra överblick över data.</t>
  </si>
  <si>
    <t>Medelvärde</t>
  </si>
  <si>
    <t>Standardfel</t>
  </si>
  <si>
    <t>Medianvärde</t>
  </si>
  <si>
    <t>Typvärde</t>
  </si>
  <si>
    <t>Standardavvikelse</t>
  </si>
  <si>
    <t>Varians</t>
  </si>
  <si>
    <t>Toppighet</t>
  </si>
  <si>
    <t>Snedhet</t>
  </si>
  <si>
    <t>Variationsvidd</t>
  </si>
  <si>
    <t>Minimum</t>
  </si>
  <si>
    <t>Maximum</t>
  </si>
  <si>
    <t>Summa</t>
  </si>
  <si>
    <t>Antal</t>
  </si>
  <si>
    <t>Konfidensnivå(95,0%)</t>
  </si>
  <si>
    <t>Co1</t>
  </si>
  <si>
    <t>Co2</t>
  </si>
  <si>
    <t>Co3</t>
  </si>
  <si>
    <t>Co4</t>
  </si>
  <si>
    <t>Co5</t>
  </si>
  <si>
    <t>Cao1</t>
  </si>
  <si>
    <t>Cao2</t>
  </si>
  <si>
    <t>Cao3</t>
  </si>
  <si>
    <t>Cao4</t>
  </si>
  <si>
    <t>Cao5</t>
  </si>
  <si>
    <t>Ca1</t>
  </si>
  <si>
    <t>Ca2</t>
  </si>
  <si>
    <t>Ca3</t>
  </si>
  <si>
    <t>Ca4</t>
  </si>
  <si>
    <t>Ca5</t>
  </si>
  <si>
    <t>—</t>
  </si>
  <si>
    <t>Dataanalys -&gt; Beskrivande statistik</t>
  </si>
  <si>
    <t>a =</t>
  </si>
  <si>
    <t>b =</t>
  </si>
  <si>
    <t>n =</t>
  </si>
  <si>
    <t>C</t>
  </si>
  <si>
    <r>
      <t>C</t>
    </r>
    <r>
      <rPr>
        <vertAlign val="subscript"/>
        <sz val="10"/>
        <rFont val="Verdana"/>
        <family val="2"/>
      </rPr>
      <t>crit</t>
    </r>
    <r>
      <rPr>
        <sz val="12"/>
        <color theme="1"/>
        <rFont val="Calibri"/>
        <family val="2"/>
        <scheme val="minor"/>
      </rPr>
      <t xml:space="preserve"> (</t>
    </r>
    <r>
      <rPr>
        <i/>
        <sz val="9"/>
        <rFont val="Geneva"/>
        <family val="2"/>
      </rPr>
      <t>p</t>
    </r>
    <r>
      <rPr>
        <sz val="12"/>
        <color theme="1"/>
        <rFont val="Calibri"/>
        <family val="2"/>
        <scheme val="minor"/>
      </rPr>
      <t xml:space="preserve"> = 0,05)</t>
    </r>
  </si>
  <si>
    <t>k</t>
  </si>
  <si>
    <t>fg</t>
  </si>
  <si>
    <t>Table 9.4</t>
  </si>
  <si>
    <t>Source of Variation</t>
  </si>
  <si>
    <t>SS</t>
  </si>
  <si>
    <t>df</t>
  </si>
  <si>
    <t>MS</t>
  </si>
  <si>
    <t>F</t>
  </si>
  <si>
    <t>P-value</t>
  </si>
  <si>
    <t>Among treatments</t>
  </si>
  <si>
    <t>Among plots</t>
  </si>
  <si>
    <t>(within treatments)</t>
  </si>
  <si>
    <t>Within samples</t>
  </si>
  <si>
    <t>Total</t>
  </si>
  <si>
    <t>Check</t>
  </si>
  <si>
    <t>Kvadrerade avvikelser inom stickprov</t>
  </si>
  <si>
    <r>
      <t>Nested analysis of variance</t>
    </r>
    <r>
      <rPr>
        <sz val="10"/>
        <rFont val="Verdana"/>
        <family val="2"/>
      </rPr>
      <t xml:space="preserve"> (med hjälp av Excel-funktionen KVADAVV())</t>
    </r>
  </si>
  <si>
    <t>Skillnaderna mellan dessa siffror och de i tabell 9.4 antar jag beror på avrundningsfel</t>
  </si>
  <si>
    <t>Bo Johannesson</t>
  </si>
  <si>
    <t>Treatment</t>
  </si>
  <si>
    <t>Mean</t>
  </si>
  <si>
    <t>SE</t>
  </si>
  <si>
    <r>
      <t>t</t>
    </r>
    <r>
      <rPr>
        <sz val="10"/>
        <rFont val="Verdana"/>
        <family val="2"/>
      </rPr>
      <t>(0,05)</t>
    </r>
  </si>
  <si>
    <r>
      <t>t</t>
    </r>
    <r>
      <rPr>
        <sz val="10"/>
        <rFont val="Verdana"/>
        <family val="2"/>
      </rPr>
      <t>*SE</t>
    </r>
  </si>
  <si>
    <t>ANOVA</t>
  </si>
  <si>
    <t>Nested analysis of variance</t>
  </si>
  <si>
    <t>Table 9.5</t>
  </si>
  <si>
    <t>SNK-test</t>
  </si>
  <si>
    <t>Rank order</t>
  </si>
  <si>
    <t>g</t>
  </si>
  <si>
    <t>Q</t>
  </si>
  <si>
    <t>D</t>
  </si>
  <si>
    <t>med 12 frihetsgrader</t>
  </si>
  <si>
    <r>
      <t>Treatment (</t>
    </r>
    <r>
      <rPr>
        <i/>
        <sz val="12"/>
        <color theme="1"/>
        <rFont val="Calibri"/>
        <family val="2"/>
        <scheme val="minor"/>
      </rPr>
      <t>i</t>
    </r>
    <r>
      <rPr>
        <sz val="12"/>
        <color theme="1"/>
        <rFont val="Calibri"/>
        <family val="2"/>
        <scheme val="minor"/>
      </rPr>
      <t>)</t>
    </r>
  </si>
  <si>
    <t>Cages
with
openings</t>
  </si>
  <si>
    <t>Anova: Två faktorer med reproducering</t>
  </si>
  <si>
    <t>SAMMANFATTNING</t>
  </si>
  <si>
    <t>Totalt</t>
  </si>
  <si>
    <t>Variationsursprung</t>
  </si>
  <si>
    <t>KvS</t>
  </si>
  <si>
    <t>MKv</t>
  </si>
  <si>
    <t>p-värde</t>
  </si>
  <si>
    <t>F-krit</t>
  </si>
  <si>
    <t>Sampel</t>
  </si>
  <si>
    <t>Kolumner</t>
  </si>
  <si>
    <t>Interaktion</t>
  </si>
  <si>
    <t>Inom</t>
  </si>
  <si>
    <t>#e1e288</t>
  </si>
  <si>
    <t>#feea8a</t>
  </si>
  <si>
    <t>#b1d484</t>
  </si>
  <si>
    <t>#66bd7d</t>
  </si>
  <si>
    <t>#fcd686</t>
  </si>
  <si>
    <t>#f5e88a</t>
  </si>
  <si>
    <t>#ebe589</t>
  </si>
  <si>
    <t>#e8e489</t>
  </si>
  <si>
    <t>#89c881</t>
  </si>
  <si>
    <t>#fde789</t>
  </si>
  <si>
    <t>#fdda86</t>
  </si>
  <si>
    <t>#fab57e</t>
  </si>
  <si>
    <t>#fccf83</t>
  </si>
  <si>
    <t>#f8a079</t>
  </si>
  <si>
    <t>#f66a6e</t>
  </si>
  <si>
    <t>#e1e288, #feea8a, #b1d484, #66bd7d, #fcd686, #f5e88a, #ebe589, #e8e489, #89c881, #fde789, #fdda86, #fab57e, #fccf83, #f8a079, #f66a6e</t>
  </si>
  <si>
    <t>Plots (cages)</t>
  </si>
  <si>
    <t>Plots (cages w. openings)</t>
  </si>
  <si>
    <t>Plots (controls)</t>
  </si>
  <si>
    <t>P</t>
  </si>
  <si>
    <t>F-kvot</t>
  </si>
  <si>
    <r>
      <rPr>
        <i/>
        <sz val="12"/>
        <color theme="1"/>
        <rFont val="Calibri"/>
        <family val="2"/>
        <scheme val="minor"/>
      </rPr>
      <t>L</t>
    </r>
    <r>
      <rPr>
        <sz val="9"/>
        <color theme="1"/>
        <rFont val="Calibri (Brödtext)_x0000_"/>
      </rPr>
      <t>2</t>
    </r>
  </si>
  <si>
    <r>
      <rPr>
        <i/>
        <sz val="12"/>
        <color rgb="FF000000"/>
        <rFont val="Calibri"/>
        <family val="2"/>
        <scheme val="minor"/>
      </rPr>
      <t>L</t>
    </r>
    <r>
      <rPr>
        <sz val="9"/>
        <color rgb="FF000000"/>
        <rFont val="Calibri (Brödtext)"/>
      </rPr>
      <t>1</t>
    </r>
  </si>
  <si>
    <t>Skiss över experimentutformningen.</t>
  </si>
  <si>
    <t>Experimentet kan illustreras på olika sätt. Här är ett alternativt sätt till det som finns i kursbokens figur 9.1 på sidan 246.</t>
  </si>
  <si>
    <r>
      <t xml:space="preserve">Den linjära modellen är </t>
    </r>
    <r>
      <rPr>
        <i/>
        <sz val="14"/>
        <color theme="1"/>
        <rFont val="Calibri"/>
        <family val="2"/>
        <scheme val="minor"/>
      </rPr>
      <t>X</t>
    </r>
    <r>
      <rPr>
        <i/>
        <vertAlign val="subscript"/>
        <sz val="14"/>
        <color theme="1"/>
        <rFont val="Calibri"/>
        <family val="2"/>
        <scheme val="minor"/>
      </rPr>
      <t>ijk</t>
    </r>
    <r>
      <rPr>
        <sz val="14"/>
        <color theme="1"/>
        <rFont val="Calibri"/>
        <family val="2"/>
        <scheme val="minor"/>
      </rPr>
      <t xml:space="preserve"> = </t>
    </r>
    <r>
      <rPr>
        <i/>
        <sz val="14"/>
        <color theme="1"/>
        <rFont val="Calibri"/>
        <family val="2"/>
        <scheme val="minor"/>
      </rPr>
      <t>µ</t>
    </r>
    <r>
      <rPr>
        <sz val="14"/>
        <color theme="1"/>
        <rFont val="Calibri"/>
        <family val="2"/>
        <scheme val="minor"/>
      </rPr>
      <t xml:space="preserve"> + behandling</t>
    </r>
    <r>
      <rPr>
        <i/>
        <vertAlign val="subscript"/>
        <sz val="14"/>
        <color theme="1"/>
        <rFont val="Calibri"/>
        <family val="2"/>
        <scheme val="minor"/>
      </rPr>
      <t>i</t>
    </r>
    <r>
      <rPr>
        <sz val="14"/>
        <color theme="1"/>
        <rFont val="Calibri"/>
        <family val="2"/>
        <scheme val="minor"/>
      </rPr>
      <t xml:space="preserve"> + (liten jordbit)</t>
    </r>
    <r>
      <rPr>
        <i/>
        <vertAlign val="subscript"/>
        <sz val="14"/>
        <color theme="1"/>
        <rFont val="Calibri"/>
        <family val="2"/>
        <scheme val="minor"/>
      </rPr>
      <t>j(i)</t>
    </r>
    <r>
      <rPr>
        <sz val="14"/>
        <color theme="1"/>
        <rFont val="Calibri"/>
        <family val="2"/>
        <scheme val="minor"/>
      </rPr>
      <t xml:space="preserve"> + </t>
    </r>
    <r>
      <rPr>
        <i/>
        <sz val="14"/>
        <color theme="1"/>
        <rFont val="Calibri"/>
        <family val="2"/>
        <scheme val="minor"/>
      </rPr>
      <t>e</t>
    </r>
    <r>
      <rPr>
        <i/>
        <vertAlign val="subscript"/>
        <sz val="14"/>
        <color theme="1"/>
        <rFont val="Calibri"/>
        <family val="2"/>
        <scheme val="minor"/>
      </rPr>
      <t>k(ij)</t>
    </r>
    <r>
      <rPr>
        <sz val="14"/>
        <color theme="1"/>
        <rFont val="Calibri"/>
        <family val="2"/>
        <scheme val="minor"/>
      </rPr>
      <t xml:space="preserve"> (formel 9.2 på sidan 250). Jämför med tabell 9.1 på sidan 247.</t>
    </r>
  </si>
  <si>
    <r>
      <rPr>
        <i/>
        <sz val="14"/>
        <color theme="1"/>
        <rFont val="Calibri"/>
        <family val="2"/>
        <scheme val="minor"/>
      </rPr>
      <t>a</t>
    </r>
    <r>
      <rPr>
        <sz val="14"/>
        <color theme="1"/>
        <rFont val="Calibri"/>
        <family val="2"/>
        <scheme val="minor"/>
      </rPr>
      <t xml:space="preserve"> = 3, </t>
    </r>
    <r>
      <rPr>
        <i/>
        <sz val="14"/>
        <color theme="1"/>
        <rFont val="Calibri"/>
        <family val="2"/>
        <scheme val="minor"/>
      </rPr>
      <t>b</t>
    </r>
    <r>
      <rPr>
        <sz val="14"/>
        <color theme="1"/>
        <rFont val="Calibri"/>
        <family val="2"/>
        <scheme val="minor"/>
      </rPr>
      <t xml:space="preserve"> = 5 och </t>
    </r>
    <r>
      <rPr>
        <i/>
        <sz val="14"/>
        <color theme="1"/>
        <rFont val="Calibri"/>
        <family val="2"/>
        <scheme val="minor"/>
      </rPr>
      <t>n</t>
    </r>
    <r>
      <rPr>
        <sz val="14"/>
        <color theme="1"/>
        <rFont val="Calibri"/>
        <family val="2"/>
        <scheme val="minor"/>
      </rPr>
      <t xml:space="preserve"> = 6.</t>
    </r>
  </si>
  <si>
    <t>Tabell 9.1, 9.4 och 9.5. Analyser och tolkningar.</t>
  </si>
  <si>
    <t>December 2019</t>
  </si>
  <si>
    <t>Pl1</t>
  </si>
  <si>
    <t>Pl2</t>
  </si>
  <si>
    <t>Pl3</t>
  </si>
  <si>
    <t>Pl4</t>
  </si>
  <si>
    <t>Pl5</t>
  </si>
  <si>
    <t>1. Exempel på sidan 243 om variation i fertilitet och fruktproduktion</t>
  </si>
  <si>
    <t>Box plot statistics</t>
  </si>
  <si>
    <t>Co1 </t>
  </si>
  <si>
    <t>Co2 </t>
  </si>
  <si>
    <t>Co3 </t>
  </si>
  <si>
    <t>Co4 </t>
  </si>
  <si>
    <t>Co5 </t>
  </si>
  <si>
    <t>Cao1 </t>
  </si>
  <si>
    <t>Cao2 </t>
  </si>
  <si>
    <t>Cao3 </t>
  </si>
  <si>
    <t>Cao4 </t>
  </si>
  <si>
    <t>Cao5 </t>
  </si>
  <si>
    <t>Ca1 </t>
  </si>
  <si>
    <t>Ca2 </t>
  </si>
  <si>
    <t>Ca3 </t>
  </si>
  <si>
    <t>Ca4 </t>
  </si>
  <si>
    <t>Ca5 </t>
  </si>
  <si>
    <t>Upper whisker </t>
  </si>
  <si>
    <t>95.00 </t>
  </si>
  <si>
    <t>84.00 </t>
  </si>
  <si>
    <t>100.00 </t>
  </si>
  <si>
    <t>99.00 </t>
  </si>
  <si>
    <t>87.00 </t>
  </si>
  <si>
    <t>92.00 </t>
  </si>
  <si>
    <t>97.00 </t>
  </si>
  <si>
    <t>88.00 </t>
  </si>
  <si>
    <t>76.00 </t>
  </si>
  <si>
    <t>77.00 </t>
  </si>
  <si>
    <t>79.00 </t>
  </si>
  <si>
    <t>55.00 </t>
  </si>
  <si>
    <t>3rd quartile </t>
  </si>
  <si>
    <t>83.00 </t>
  </si>
  <si>
    <t>80.00 </t>
  </si>
  <si>
    <t>85.00 </t>
  </si>
  <si>
    <t>74.00 </t>
  </si>
  <si>
    <t>71.00 </t>
  </si>
  <si>
    <t>86.00 </t>
  </si>
  <si>
    <t>70.00 </t>
  </si>
  <si>
    <t>49.00 </t>
  </si>
  <si>
    <t>Median </t>
  </si>
  <si>
    <t>77.50 </t>
  </si>
  <si>
    <t>75.00 </t>
  </si>
  <si>
    <t>94.00 </t>
  </si>
  <si>
    <t>76.50 </t>
  </si>
  <si>
    <t>78.50 </t>
  </si>
  <si>
    <t>81.00 </t>
  </si>
  <si>
    <t>73.00 </t>
  </si>
  <si>
    <t>61.00 </t>
  </si>
  <si>
    <t>72.00 </t>
  </si>
  <si>
    <t>50.50 </t>
  </si>
  <si>
    <t>45.50 </t>
  </si>
  <si>
    <t>1st quartile </t>
  </si>
  <si>
    <t>65.00 </t>
  </si>
  <si>
    <t>64.00 </t>
  </si>
  <si>
    <t>63.00 </t>
  </si>
  <si>
    <t>67.00 </t>
  </si>
  <si>
    <t>54.00 </t>
  </si>
  <si>
    <t>48.00 </t>
  </si>
  <si>
    <t>45.00 </t>
  </si>
  <si>
    <t>43.00 </t>
  </si>
  <si>
    <t>Lower whisker </t>
  </si>
  <si>
    <t>62.00 </t>
  </si>
  <si>
    <t>47.00 </t>
  </si>
  <si>
    <t>Nr. of data points </t>
  </si>
  <si>
    <t>6.00 </t>
  </si>
  <si>
    <t>Mean </t>
  </si>
  <si>
    <t>78.33 </t>
  </si>
  <si>
    <t>75.17 </t>
  </si>
  <si>
    <t>83.50 </t>
  </si>
  <si>
    <t>91.50 </t>
  </si>
  <si>
    <t>70.33 </t>
  </si>
  <si>
    <t>76.17 </t>
  </si>
  <si>
    <t>77.33 </t>
  </si>
  <si>
    <t>77.67 </t>
  </si>
  <si>
    <t>87.83 </t>
  </si>
  <si>
    <t>74.50 </t>
  </si>
  <si>
    <t>71.17 </t>
  </si>
  <si>
    <t>61.83 </t>
  </si>
  <si>
    <t>68.50 </t>
  </si>
  <si>
    <t>56.33 </t>
  </si>
  <si>
    <r>
      <t xml:space="preserve">Återuppdelning av variation </t>
    </r>
    <r>
      <rPr>
        <sz val="10"/>
        <rFont val="Verdana"/>
        <family val="2"/>
      </rPr>
      <t xml:space="preserve"> (med hjälp av Excel-funktionen KVADAVV())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</si>
</sst>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0"/>
    <numFmt numFmtId="167" formatCode="0.0000"/>
  </numFmts>
  <fonts count="29">
    <font>
      <sz val="12"/>
      <color theme="1"/>
      <name val="Calibri"/>
      <family val="2"/>
      <scheme val="minor"/>
    </font>
    <font>
      <i/>
      <sz val="10"/>
      <name val="Verdana"/>
      <family val="2"/>
    </font>
    <font>
      <b/>
      <sz val="10"/>
      <name val="Verdana"/>
      <family val="2"/>
    </font>
    <font>
      <u/>
      <sz val="12"/>
      <color theme="10"/>
      <name val="Calibri"/>
      <family val="2"/>
      <scheme val="minor"/>
    </font>
    <font>
      <u/>
      <sz val="12"/>
      <color theme="11"/>
      <name val="Calibri"/>
      <family val="2"/>
      <scheme val="minor"/>
    </font>
    <font>
      <i/>
      <sz val="12"/>
      <color theme="1"/>
      <name val="Calibri"/>
      <family val="2"/>
      <scheme val="minor"/>
    </font>
    <font>
      <i/>
      <sz val="9"/>
      <name val="Geneva"/>
      <family val="2"/>
    </font>
    <font>
      <vertAlign val="subscript"/>
      <sz val="10"/>
      <name val="Verdana"/>
      <family val="2"/>
    </font>
    <font>
      <sz val="10"/>
      <name val="Verdana"/>
      <family val="2"/>
    </font>
    <font>
      <sz val="10"/>
      <color indexed="8"/>
      <name val="Verdana"/>
      <family val="2"/>
    </font>
    <font>
      <b/>
      <sz val="9"/>
      <name val="Verdana"/>
      <family val="2"/>
    </font>
    <font>
      <sz val="9"/>
      <name val="Verdana"/>
      <family val="2"/>
    </font>
    <font>
      <u/>
      <sz val="10"/>
      <color indexed="61"/>
      <name val="Verdana"/>
      <family val="2"/>
    </font>
    <font>
      <sz val="12"/>
      <color rgb="FF000000"/>
      <name val="Calibri"/>
      <family val="2"/>
      <scheme val="minor"/>
    </font>
    <font>
      <i/>
      <sz val="11"/>
      <color rgb="FF000000"/>
      <name val="Calibri"/>
      <family val="2"/>
      <scheme val="minor"/>
    </font>
    <font>
      <i/>
      <sz val="12"/>
      <color rgb="FF000000"/>
      <name val="Calibri"/>
      <family val="2"/>
      <scheme val="minor"/>
    </font>
    <font>
      <b/>
      <sz val="12"/>
      <color theme="1"/>
      <name val="Calibri"/>
      <family val="2"/>
      <scheme val="minor"/>
    </font>
    <font>
      <sz val="9"/>
      <color rgb="FF000000"/>
      <name val="Calibri (Brödtext)"/>
    </font>
    <font>
      <sz val="9"/>
      <color theme="1"/>
      <name val="Calibri (Brödtext)_x0000_"/>
    </font>
    <font>
      <b/>
      <sz val="14"/>
      <color rgb="FF000000"/>
      <name val="Calibri"/>
      <family val="2"/>
      <scheme val="minor"/>
    </font>
    <font>
      <sz val="14"/>
      <color rgb="FF000000"/>
      <name val="Calibri"/>
      <family val="2"/>
      <scheme val="minor"/>
    </font>
    <font>
      <sz val="14"/>
      <color theme="1"/>
      <name val="Calibri"/>
      <family val="2"/>
      <scheme val="minor"/>
    </font>
    <font>
      <i/>
      <sz val="14"/>
      <color theme="1"/>
      <name val="Calibri"/>
      <family val="2"/>
      <scheme val="minor"/>
    </font>
    <font>
      <i/>
      <vertAlign val="subscript"/>
      <sz val="14"/>
      <color theme="1"/>
      <name val="Calibri"/>
      <family val="2"/>
      <scheme val="minor"/>
    </font>
    <font>
      <sz val="18"/>
      <color theme="3"/>
      <name val="Calibri Light"/>
      <family val="2"/>
      <scheme val="major"/>
    </font>
    <font>
      <b/>
      <sz val="18"/>
      <color theme="1"/>
      <name val="Calibri Light"/>
      <family val="2"/>
      <scheme val="major"/>
    </font>
    <font>
      <sz val="18"/>
      <color rgb="FF333333"/>
      <name val="Helvetica Neue"/>
      <family val="2"/>
    </font>
    <font>
      <b/>
      <sz val="12"/>
      <color theme="1"/>
      <name val="Helvetica Neue"/>
      <family val="2"/>
    </font>
    <font>
      <sz val="12"/>
      <color theme="1"/>
      <name val="Courier New"/>
      <family val="1"/>
    </font>
  </fonts>
  <fills count="49">
    <fill>
      <patternFill patternType="none"/>
    </fill>
    <fill>
      <patternFill patternType="gray125"/>
    </fill>
    <fill>
      <patternFill patternType="solid">
        <fgColor rgb="FFD8E082"/>
        <bgColor rgb="FF000000"/>
      </patternFill>
    </fill>
    <fill>
      <patternFill patternType="solid">
        <fgColor rgb="FFECE683"/>
        <bgColor rgb="FF000000"/>
      </patternFill>
    </fill>
    <fill>
      <patternFill patternType="solid">
        <fgColor rgb="FFA4D17F"/>
        <bgColor rgb="FF000000"/>
      </patternFill>
    </fill>
    <fill>
      <patternFill patternType="solid">
        <fgColor rgb="FFFEE883"/>
        <bgColor rgb="FF000000"/>
      </patternFill>
    </fill>
    <fill>
      <patternFill patternType="solid">
        <fgColor rgb="FFFA9874"/>
        <bgColor rgb="FF000000"/>
      </patternFill>
    </fill>
    <fill>
      <patternFill patternType="solid">
        <fgColor rgb="FF98CE7F"/>
        <bgColor rgb="FF000000"/>
      </patternFill>
    </fill>
    <fill>
      <patternFill patternType="solid">
        <fgColor rgb="FFFDCC7E"/>
        <bgColor rgb="FF000000"/>
      </patternFill>
    </fill>
    <fill>
      <patternFill patternType="solid">
        <fgColor rgb="FFFDD780"/>
        <bgColor rgb="FF000000"/>
      </patternFill>
    </fill>
    <fill>
      <patternFill patternType="solid">
        <fgColor rgb="FF84C87D"/>
        <bgColor rgb="FF000000"/>
      </patternFill>
    </fill>
    <fill>
      <patternFill patternType="solid">
        <fgColor rgb="FFFEDE81"/>
        <bgColor rgb="FF000000"/>
      </patternFill>
    </fill>
    <fill>
      <patternFill patternType="solid">
        <fgColor rgb="FFFEE683"/>
        <bgColor rgb="FF000000"/>
      </patternFill>
    </fill>
    <fill>
      <patternFill patternType="solid">
        <fgColor rgb="FFFBAC77"/>
        <bgColor rgb="FF000000"/>
      </patternFill>
    </fill>
    <fill>
      <patternFill patternType="solid">
        <fgColor rgb="FFFDC87D"/>
        <bgColor rgb="FF000000"/>
      </patternFill>
    </fill>
    <fill>
      <patternFill patternType="solid">
        <fgColor rgb="FFFBA376"/>
        <bgColor rgb="FF000000"/>
      </patternFill>
    </fill>
    <fill>
      <patternFill patternType="solid">
        <fgColor rgb="FFCCDD82"/>
        <bgColor rgb="FF000000"/>
      </patternFill>
    </fill>
    <fill>
      <patternFill patternType="solid">
        <fgColor rgb="FF63BE7B"/>
        <bgColor rgb="FF000000"/>
      </patternFill>
    </fill>
    <fill>
      <patternFill patternType="solid">
        <fgColor rgb="FF91CC7E"/>
        <bgColor rgb="FF000000"/>
      </patternFill>
    </fill>
    <fill>
      <patternFill patternType="solid">
        <fgColor rgb="FFFDD17F"/>
        <bgColor rgb="FF000000"/>
      </patternFill>
    </fill>
    <fill>
      <patternFill patternType="solid">
        <fgColor rgb="FFE5E483"/>
        <bgColor rgb="FF000000"/>
      </patternFill>
    </fill>
    <fill>
      <patternFill patternType="solid">
        <fgColor rgb="FF77C47D"/>
        <bgColor rgb="FF000000"/>
      </patternFill>
    </fill>
    <fill>
      <patternFill patternType="solid">
        <fgColor rgb="FFFFEB84"/>
        <bgColor rgb="FF000000"/>
      </patternFill>
    </fill>
    <fill>
      <patternFill patternType="solid">
        <fgColor rgb="FFFEE081"/>
        <bgColor rgb="FF000000"/>
      </patternFill>
    </fill>
    <fill>
      <patternFill patternType="solid">
        <fgColor rgb="FFB1D580"/>
        <bgColor rgb="FF000000"/>
      </patternFill>
    </fill>
    <fill>
      <patternFill patternType="solid">
        <fgColor rgb="FFFCB97A"/>
        <bgColor rgb="FF000000"/>
      </patternFill>
    </fill>
    <fill>
      <patternFill patternType="solid">
        <fgColor rgb="FFFBA576"/>
        <bgColor rgb="FF000000"/>
      </patternFill>
    </fill>
    <fill>
      <patternFill patternType="solid">
        <fgColor rgb="FFFEE482"/>
        <bgColor rgb="FF000000"/>
      </patternFill>
    </fill>
    <fill>
      <patternFill patternType="solid">
        <fgColor rgb="FFFDD37F"/>
        <bgColor rgb="FF000000"/>
      </patternFill>
    </fill>
    <fill>
      <patternFill patternType="solid">
        <fgColor rgb="FF6AC07C"/>
        <bgColor rgb="FF000000"/>
      </patternFill>
    </fill>
    <fill>
      <patternFill patternType="solid">
        <fgColor rgb="FFD2DE82"/>
        <bgColor rgb="FF000000"/>
      </patternFill>
    </fill>
    <fill>
      <patternFill patternType="solid">
        <fgColor rgb="FFFDCE7E"/>
        <bgColor rgb="FF000000"/>
      </patternFill>
    </fill>
    <fill>
      <patternFill patternType="solid">
        <fgColor rgb="FFC5DB81"/>
        <bgColor rgb="FF000000"/>
      </patternFill>
    </fill>
    <fill>
      <patternFill patternType="solid">
        <fgColor rgb="FFF9EA84"/>
        <bgColor rgb="FF000000"/>
      </patternFill>
    </fill>
    <fill>
      <patternFill patternType="solid">
        <fgColor rgb="FFFEE282"/>
        <bgColor rgb="FF000000"/>
      </patternFill>
    </fill>
    <fill>
      <patternFill patternType="solid">
        <fgColor rgb="FFFCBB7A"/>
        <bgColor rgb="FF000000"/>
      </patternFill>
    </fill>
    <fill>
      <patternFill patternType="solid">
        <fgColor rgb="FFBED981"/>
        <bgColor rgb="FF000000"/>
      </patternFill>
    </fill>
    <fill>
      <patternFill patternType="solid">
        <fgColor rgb="FFFBAE78"/>
        <bgColor rgb="FF000000"/>
      </patternFill>
    </fill>
    <fill>
      <patternFill patternType="solid">
        <fgColor rgb="FFF8696B"/>
        <bgColor rgb="FF000000"/>
      </patternFill>
    </fill>
    <fill>
      <patternFill patternType="solid">
        <fgColor rgb="FFFCBF7B"/>
        <bgColor rgb="FF000000"/>
      </patternFill>
    </fill>
    <fill>
      <patternFill patternType="solid">
        <fgColor rgb="FFB8D780"/>
        <bgColor rgb="FF000000"/>
      </patternFill>
    </fill>
    <fill>
      <patternFill patternType="solid">
        <fgColor rgb="FFFCB77A"/>
        <bgColor rgb="FF000000"/>
      </patternFill>
    </fill>
    <fill>
      <patternFill patternType="solid">
        <fgColor rgb="FFFBA777"/>
        <bgColor rgb="FF000000"/>
      </patternFill>
    </fill>
    <fill>
      <patternFill patternType="solid">
        <fgColor rgb="FFFBB078"/>
        <bgColor rgb="FF000000"/>
      </patternFill>
    </fill>
    <fill>
      <patternFill patternType="solid">
        <fgColor rgb="FFFDD57F"/>
        <bgColor rgb="FF000000"/>
      </patternFill>
    </fill>
    <fill>
      <patternFill patternType="solid">
        <fgColor rgb="FFFCBD7B"/>
        <bgColor rgb="FF000000"/>
      </patternFill>
    </fill>
    <fill>
      <patternFill patternType="solid">
        <fgColor rgb="FFE8E583"/>
        <bgColor indexed="64"/>
      </patternFill>
    </fill>
    <fill>
      <patternFill patternType="solid">
        <fgColor rgb="FFEFE783"/>
        <bgColor indexed="64"/>
      </patternFill>
    </fill>
    <fill>
      <patternFill patternType="solid">
        <fgColor rgb="FFFEC87D"/>
        <bgColor indexed="64"/>
      </patternFill>
    </fill>
  </fills>
  <borders count="14">
    <border>
      <left/>
      <right/>
      <top/>
      <bottom/>
      <diagonal/>
    </border>
    <border>
      <left/>
      <right/>
      <top/>
      <bottom style="double">
        <color auto="1"/>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bottom style="medium">
        <color auto="1"/>
      </bottom>
      <diagonal/>
    </border>
    <border>
      <left/>
      <right/>
      <top style="medium">
        <color auto="1"/>
      </top>
      <bottom style="thin">
        <color auto="1"/>
      </bottom>
      <diagonal/>
    </border>
    <border>
      <left style="thin">
        <color auto="1"/>
      </left>
      <right/>
      <top/>
      <bottom style="thin">
        <color auto="1"/>
      </bottom>
      <diagonal/>
    </border>
    <border>
      <left/>
      <right/>
      <top/>
      <bottom style="medium">
        <color rgb="FF000090"/>
      </bottom>
      <diagonal/>
    </border>
    <border>
      <left/>
      <right style="thin">
        <color indexed="64"/>
      </right>
      <top style="thin">
        <color auto="1"/>
      </top>
      <bottom/>
      <diagonal/>
    </border>
    <border>
      <left/>
      <right style="thin">
        <color indexed="64"/>
      </right>
      <top style="medium">
        <color auto="1"/>
      </top>
      <bottom style="thin">
        <color auto="1"/>
      </bottom>
      <diagonal/>
    </border>
    <border>
      <left/>
      <right style="thin">
        <color indexed="64"/>
      </right>
      <top/>
      <bottom style="medium">
        <color auto="1"/>
      </bottom>
      <diagonal/>
    </border>
  </borders>
  <cellStyleXfs count="3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8" fillId="0" borderId="0"/>
    <xf numFmtId="0" fontId="12" fillId="0" borderId="0" applyNumberFormat="0" applyFill="0" applyBorder="0" applyAlignment="0" applyProtection="0">
      <alignment vertical="top"/>
      <protection locked="0"/>
    </xf>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24" fillId="0" borderId="0" applyNumberFormat="0" applyFill="0" applyBorder="0" applyAlignment="0" applyProtection="0"/>
  </cellStyleXfs>
  <cellXfs count="178">
    <xf numFmtId="0" fontId="0" fillId="0" borderId="0" xfId="0"/>
    <xf numFmtId="0" fontId="0" fillId="0" borderId="1" xfId="0" applyBorder="1"/>
    <xf numFmtId="164" fontId="0" fillId="0" borderId="1" xfId="0" applyNumberFormat="1" applyBorder="1"/>
    <xf numFmtId="164" fontId="0" fillId="0" borderId="0" xfId="0" applyNumberFormat="1"/>
    <xf numFmtId="0" fontId="0" fillId="0" borderId="2" xfId="0" applyBorder="1"/>
    <xf numFmtId="0" fontId="0" fillId="0" borderId="3" xfId="0" applyBorder="1"/>
    <xf numFmtId="0" fontId="0" fillId="0" borderId="4" xfId="0" applyBorder="1"/>
    <xf numFmtId="0" fontId="2" fillId="0" borderId="0" xfId="0" applyFont="1"/>
    <xf numFmtId="2" fontId="0" fillId="0" borderId="0" xfId="0" applyNumberFormat="1"/>
    <xf numFmtId="0" fontId="5" fillId="0" borderId="0" xfId="0" applyFont="1"/>
    <xf numFmtId="0" fontId="0" fillId="0" borderId="0" xfId="0" applyBorder="1"/>
    <xf numFmtId="0" fontId="0" fillId="0" borderId="0" xfId="0" applyFill="1" applyBorder="1" applyAlignment="1"/>
    <xf numFmtId="0" fontId="0" fillId="0" borderId="7" xfId="0" applyFill="1" applyBorder="1" applyAlignment="1"/>
    <xf numFmtId="0" fontId="5" fillId="0" borderId="8" xfId="0" applyFont="1" applyFill="1" applyBorder="1" applyAlignment="1">
      <alignment horizontal="center"/>
    </xf>
    <xf numFmtId="0" fontId="0" fillId="0" borderId="0" xfId="0" applyAlignment="1">
      <alignment horizontal="right"/>
    </xf>
    <xf numFmtId="0" fontId="6" fillId="0" borderId="0" xfId="0" applyFont="1"/>
    <xf numFmtId="165" fontId="0" fillId="0" borderId="0" xfId="0" applyNumberFormat="1"/>
    <xf numFmtId="0" fontId="1" fillId="0" borderId="8" xfId="0" applyFont="1" applyFill="1" applyBorder="1" applyAlignment="1">
      <alignment horizontal="center"/>
    </xf>
    <xf numFmtId="0" fontId="8" fillId="0" borderId="0" xfId="0" applyFont="1" applyFill="1" applyBorder="1" applyAlignment="1"/>
    <xf numFmtId="1" fontId="0" fillId="0" borderId="0" xfId="0" applyNumberFormat="1"/>
    <xf numFmtId="1" fontId="8" fillId="0" borderId="0" xfId="0" applyNumberFormat="1" applyFont="1" applyFill="1" applyBorder="1" applyAlignment="1"/>
    <xf numFmtId="2" fontId="8" fillId="0" borderId="0" xfId="0" applyNumberFormat="1" applyFont="1" applyFill="1" applyBorder="1" applyAlignment="1"/>
    <xf numFmtId="166" fontId="8" fillId="0" borderId="0" xfId="0" applyNumberFormat="1" applyFont="1" applyFill="1" applyBorder="1" applyAlignment="1"/>
    <xf numFmtId="0" fontId="9" fillId="0" borderId="0" xfId="0" applyFont="1"/>
    <xf numFmtId="0" fontId="8" fillId="0" borderId="7" xfId="0" applyFont="1" applyFill="1" applyBorder="1" applyAlignment="1"/>
    <xf numFmtId="1" fontId="8" fillId="0" borderId="7" xfId="0" applyNumberFormat="1" applyFont="1" applyFill="1" applyBorder="1" applyAlignment="1"/>
    <xf numFmtId="0" fontId="0" fillId="0" borderId="0" xfId="0" applyAlignment="1">
      <alignment horizontal="left"/>
    </xf>
    <xf numFmtId="0" fontId="10" fillId="0" borderId="0" xfId="0" applyFont="1"/>
    <xf numFmtId="49" fontId="11" fillId="0" borderId="0" xfId="0" applyNumberFormat="1" applyFont="1"/>
    <xf numFmtId="0" fontId="0" fillId="0" borderId="0" xfId="0" applyAlignment="1">
      <alignment horizontal="center"/>
    </xf>
    <xf numFmtId="164" fontId="0" fillId="0" borderId="0" xfId="0" applyNumberFormat="1" applyBorder="1" applyAlignment="1">
      <alignment horizontal="right"/>
    </xf>
    <xf numFmtId="0" fontId="1" fillId="0" borderId="0" xfId="0" applyFont="1"/>
    <xf numFmtId="0" fontId="8" fillId="0" borderId="0" xfId="23"/>
    <xf numFmtId="0" fontId="1" fillId="0" borderId="8" xfId="23" applyFont="1" applyFill="1" applyBorder="1" applyAlignment="1">
      <alignment horizontal="center"/>
    </xf>
    <xf numFmtId="0" fontId="2" fillId="0" borderId="0" xfId="23" applyFont="1"/>
    <xf numFmtId="0" fontId="8" fillId="0" borderId="0" xfId="23" applyFont="1" applyFill="1" applyBorder="1" applyAlignment="1"/>
    <xf numFmtId="1" fontId="8" fillId="0" borderId="0" xfId="23" applyNumberFormat="1" applyFont="1" applyFill="1" applyBorder="1" applyAlignment="1"/>
    <xf numFmtId="2" fontId="8" fillId="0" borderId="0" xfId="23" applyNumberFormat="1" applyFont="1" applyFill="1" applyBorder="1" applyAlignment="1"/>
    <xf numFmtId="166" fontId="2" fillId="0" borderId="0" xfId="23" applyNumberFormat="1" applyFont="1" applyFill="1" applyBorder="1" applyAlignment="1"/>
    <xf numFmtId="166" fontId="8" fillId="0" borderId="0" xfId="23" applyNumberFormat="1" applyFont="1" applyFill="1" applyBorder="1" applyAlignment="1"/>
    <xf numFmtId="0" fontId="8" fillId="0" borderId="7" xfId="23" applyFont="1" applyFill="1" applyBorder="1" applyAlignment="1"/>
    <xf numFmtId="1" fontId="8" fillId="0" borderId="7" xfId="23" applyNumberFormat="1" applyFont="1" applyFill="1" applyBorder="1" applyAlignment="1"/>
    <xf numFmtId="0" fontId="8" fillId="0" borderId="1" xfId="23" applyBorder="1"/>
    <xf numFmtId="0" fontId="8" fillId="0" borderId="0" xfId="23" applyAlignment="1">
      <alignment horizontal="center"/>
    </xf>
    <xf numFmtId="0" fontId="8" fillId="0" borderId="3" xfId="23" applyBorder="1"/>
    <xf numFmtId="0" fontId="8" fillId="0" borderId="0" xfId="23" applyBorder="1"/>
    <xf numFmtId="164" fontId="8" fillId="0" borderId="0" xfId="23" applyNumberFormat="1" applyBorder="1" applyAlignment="1">
      <alignment horizontal="right"/>
    </xf>
    <xf numFmtId="2" fontId="8" fillId="0" borderId="0" xfId="23" applyNumberFormat="1"/>
    <xf numFmtId="0" fontId="1" fillId="0" borderId="0" xfId="23" applyFont="1"/>
    <xf numFmtId="0" fontId="0" fillId="0" borderId="3" xfId="0" applyBorder="1" applyAlignment="1">
      <alignment horizontal="center"/>
    </xf>
    <xf numFmtId="0" fontId="0" fillId="0" borderId="9" xfId="0" applyBorder="1" applyAlignment="1">
      <alignment horizontal="center"/>
    </xf>
    <xf numFmtId="164" fontId="2" fillId="0" borderId="0" xfId="0" applyNumberFormat="1" applyFont="1"/>
    <xf numFmtId="0" fontId="13" fillId="0" borderId="0" xfId="0" applyFont="1"/>
    <xf numFmtId="0" fontId="14" fillId="0" borderId="10" xfId="0" applyFont="1" applyBorder="1" applyAlignment="1">
      <alignment horizontal="right"/>
    </xf>
    <xf numFmtId="0" fontId="15" fillId="0" borderId="8" xfId="0" applyFont="1" applyBorder="1" applyAlignment="1">
      <alignment horizontal="center"/>
    </xf>
    <xf numFmtId="0" fontId="13" fillId="0" borderId="0" xfId="0" applyNumberFormat="1" applyFont="1"/>
    <xf numFmtId="0" fontId="13" fillId="0" borderId="7" xfId="0" applyFont="1" applyBorder="1"/>
    <xf numFmtId="0" fontId="0" fillId="0" borderId="5" xfId="0" applyFill="1" applyBorder="1" applyAlignment="1">
      <alignment horizontal="center"/>
    </xf>
    <xf numFmtId="0" fontId="13" fillId="2" borderId="0" xfId="0" applyFont="1" applyFill="1"/>
    <xf numFmtId="0" fontId="13" fillId="3" borderId="0" xfId="0" applyFont="1" applyFill="1"/>
    <xf numFmtId="0" fontId="13" fillId="4" borderId="0" xfId="0" applyFont="1" applyFill="1"/>
    <xf numFmtId="0" fontId="13" fillId="5" borderId="0" xfId="0" applyFont="1" applyFill="1"/>
    <xf numFmtId="0" fontId="13" fillId="6" borderId="2" xfId="0" applyFont="1" applyFill="1" applyBorder="1"/>
    <xf numFmtId="0" fontId="13" fillId="7" borderId="0" xfId="0" applyFont="1" applyFill="1"/>
    <xf numFmtId="0" fontId="13" fillId="8" borderId="0" xfId="0" applyFont="1" applyFill="1"/>
    <xf numFmtId="0" fontId="13" fillId="9" borderId="0" xfId="0" applyFont="1" applyFill="1"/>
    <xf numFmtId="0" fontId="13" fillId="10" borderId="0" xfId="0" applyFont="1" applyFill="1"/>
    <xf numFmtId="0" fontId="13" fillId="11" borderId="0" xfId="0" applyFont="1" applyFill="1"/>
    <xf numFmtId="0" fontId="13" fillId="12" borderId="0" xfId="0" applyFont="1" applyFill="1"/>
    <xf numFmtId="0" fontId="13" fillId="13" borderId="0" xfId="0" applyFont="1" applyFill="1"/>
    <xf numFmtId="0" fontId="13" fillId="14" borderId="0" xfId="0" applyFont="1" applyFill="1"/>
    <xf numFmtId="0" fontId="13" fillId="15" borderId="0" xfId="0" applyFont="1" applyFill="1"/>
    <xf numFmtId="0" fontId="13" fillId="16" borderId="0" xfId="0" applyFont="1" applyFill="1"/>
    <xf numFmtId="0" fontId="13" fillId="17" borderId="0" xfId="0" applyFont="1" applyFill="1"/>
    <xf numFmtId="0" fontId="13" fillId="18" borderId="0" xfId="0" applyFont="1" applyFill="1"/>
    <xf numFmtId="0" fontId="13" fillId="19" borderId="0" xfId="0" applyFont="1" applyFill="1"/>
    <xf numFmtId="0" fontId="13" fillId="20" borderId="0" xfId="0" applyFont="1" applyFill="1"/>
    <xf numFmtId="0" fontId="13" fillId="21" borderId="0" xfId="0" applyFont="1" applyFill="1"/>
    <xf numFmtId="0" fontId="13" fillId="22" borderId="0" xfId="0" applyFont="1" applyFill="1"/>
    <xf numFmtId="0" fontId="13" fillId="23" borderId="0" xfId="0" applyFont="1" applyFill="1"/>
    <xf numFmtId="0" fontId="13" fillId="24" borderId="0" xfId="0" applyFont="1" applyFill="1"/>
    <xf numFmtId="0" fontId="13" fillId="25" borderId="0" xfId="0" applyFont="1" applyFill="1"/>
    <xf numFmtId="0" fontId="13" fillId="26" borderId="0" xfId="0" applyFont="1" applyFill="1"/>
    <xf numFmtId="0" fontId="13" fillId="27" borderId="0" xfId="0" applyFont="1" applyFill="1"/>
    <xf numFmtId="0" fontId="13" fillId="28" borderId="0" xfId="0" applyFont="1" applyFill="1"/>
    <xf numFmtId="0" fontId="13" fillId="29" borderId="0" xfId="0" applyFont="1" applyFill="1"/>
    <xf numFmtId="0" fontId="13" fillId="30" borderId="0" xfId="0" applyFont="1" applyFill="1"/>
    <xf numFmtId="0" fontId="13" fillId="31" borderId="0" xfId="0" applyFont="1" applyFill="1"/>
    <xf numFmtId="0" fontId="13" fillId="32" borderId="0" xfId="0" applyFont="1" applyFill="1"/>
    <xf numFmtId="0" fontId="13" fillId="33" borderId="0" xfId="0" applyFont="1" applyFill="1"/>
    <xf numFmtId="0" fontId="13" fillId="34" borderId="0" xfId="0" applyFont="1" applyFill="1"/>
    <xf numFmtId="0" fontId="13" fillId="35" borderId="0" xfId="0" applyFont="1" applyFill="1"/>
    <xf numFmtId="0" fontId="13" fillId="36" borderId="0" xfId="0" applyFont="1" applyFill="1"/>
    <xf numFmtId="0" fontId="13" fillId="37" borderId="0" xfId="0" applyFont="1" applyFill="1"/>
    <xf numFmtId="0" fontId="13" fillId="38" borderId="0" xfId="0" applyFont="1" applyFill="1"/>
    <xf numFmtId="0" fontId="13" fillId="39" borderId="0" xfId="0" applyFont="1" applyFill="1"/>
    <xf numFmtId="0" fontId="13" fillId="40" borderId="0" xfId="0" applyFont="1" applyFill="1"/>
    <xf numFmtId="0" fontId="13" fillId="41" borderId="0" xfId="0" applyFont="1" applyFill="1"/>
    <xf numFmtId="0" fontId="13" fillId="42" borderId="0" xfId="0" applyFont="1" applyFill="1"/>
    <xf numFmtId="0" fontId="13" fillId="43" borderId="0" xfId="0" applyFont="1" applyFill="1"/>
    <xf numFmtId="0" fontId="13" fillId="10" borderId="3" xfId="0" applyFont="1" applyFill="1" applyBorder="1"/>
    <xf numFmtId="0" fontId="13" fillId="20" borderId="3" xfId="0" applyFont="1" applyFill="1" applyBorder="1"/>
    <xf numFmtId="0" fontId="13" fillId="31" borderId="3" xfId="0" applyFont="1" applyFill="1" applyBorder="1"/>
    <xf numFmtId="0" fontId="13" fillId="3" borderId="3" xfId="0" applyFont="1" applyFill="1" applyBorder="1"/>
    <xf numFmtId="0" fontId="13" fillId="27" borderId="3" xfId="0" applyFont="1" applyFill="1" applyBorder="1"/>
    <xf numFmtId="0" fontId="13" fillId="33" borderId="3" xfId="0" applyFont="1" applyFill="1" applyBorder="1"/>
    <xf numFmtId="0" fontId="13" fillId="24" borderId="3" xfId="0" applyFont="1" applyFill="1" applyBorder="1"/>
    <xf numFmtId="0" fontId="13" fillId="22" borderId="3" xfId="0" applyFont="1" applyFill="1" applyBorder="1"/>
    <xf numFmtId="0" fontId="13" fillId="40" borderId="3" xfId="0" applyFont="1" applyFill="1" applyBorder="1"/>
    <xf numFmtId="0" fontId="13" fillId="12" borderId="3" xfId="0" applyFont="1" applyFill="1" applyBorder="1"/>
    <xf numFmtId="0" fontId="13" fillId="44" borderId="3" xfId="0" applyFont="1" applyFill="1" applyBorder="1"/>
    <xf numFmtId="0" fontId="13" fillId="37" borderId="3" xfId="0" applyFont="1" applyFill="1" applyBorder="1"/>
    <xf numFmtId="0" fontId="13" fillId="42" borderId="3" xfId="0" applyFont="1" applyFill="1" applyBorder="1"/>
    <xf numFmtId="0" fontId="13" fillId="45" borderId="3" xfId="0" applyFont="1" applyFill="1" applyBorder="1"/>
    <xf numFmtId="0" fontId="5" fillId="48" borderId="8" xfId="0" applyFont="1" applyFill="1" applyBorder="1" applyAlignment="1">
      <alignment horizontal="center"/>
    </xf>
    <xf numFmtId="0" fontId="5" fillId="46" borderId="8" xfId="0" applyFont="1" applyFill="1" applyBorder="1" applyAlignment="1">
      <alignment horizontal="center"/>
    </xf>
    <xf numFmtId="0" fontId="5" fillId="47" borderId="8" xfId="0" applyFont="1" applyFill="1" applyBorder="1" applyAlignment="1">
      <alignment horizontal="center"/>
    </xf>
    <xf numFmtId="0" fontId="0" fillId="0" borderId="11" xfId="0" applyFill="1" applyBorder="1" applyAlignment="1"/>
    <xf numFmtId="0" fontId="5" fillId="46" borderId="12" xfId="0" applyFont="1" applyFill="1" applyBorder="1" applyAlignment="1">
      <alignment horizontal="center"/>
    </xf>
    <xf numFmtId="0" fontId="5" fillId="47" borderId="12" xfId="0" applyFont="1" applyFill="1" applyBorder="1" applyAlignment="1">
      <alignment horizontal="center"/>
    </xf>
    <xf numFmtId="0" fontId="0" fillId="0" borderId="2" xfId="0" applyFill="1" applyBorder="1" applyAlignment="1"/>
    <xf numFmtId="0" fontId="0" fillId="0" borderId="6" xfId="0" applyFill="1" applyBorder="1" applyAlignment="1">
      <alignment horizontal="center"/>
    </xf>
    <xf numFmtId="0" fontId="0" fillId="0" borderId="0" xfId="0" applyFill="1"/>
    <xf numFmtId="0" fontId="0" fillId="0" borderId="0" xfId="0" applyFill="1" applyAlignment="1">
      <alignment vertical="top" wrapText="1"/>
    </xf>
    <xf numFmtId="0" fontId="0" fillId="0" borderId="2" xfId="0" applyFill="1" applyBorder="1"/>
    <xf numFmtId="0" fontId="8" fillId="0" borderId="0" xfId="23" applyFill="1"/>
    <xf numFmtId="0" fontId="8" fillId="0" borderId="5" xfId="23" applyFill="1" applyBorder="1" applyAlignment="1">
      <alignment horizontal="center"/>
    </xf>
    <xf numFmtId="0" fontId="8" fillId="0" borderId="6" xfId="23" applyFill="1" applyBorder="1" applyAlignment="1">
      <alignment horizontal="center"/>
    </xf>
    <xf numFmtId="0" fontId="14" fillId="46" borderId="10" xfId="0" applyFont="1" applyFill="1" applyBorder="1" applyAlignment="1">
      <alignment horizontal="right"/>
    </xf>
    <xf numFmtId="0" fontId="14" fillId="47" borderId="10" xfId="0" applyFont="1" applyFill="1" applyBorder="1" applyAlignment="1">
      <alignment horizontal="right"/>
    </xf>
    <xf numFmtId="0" fontId="14" fillId="48" borderId="10" xfId="0" applyFont="1" applyFill="1" applyBorder="1" applyAlignment="1">
      <alignment horizontal="right"/>
    </xf>
    <xf numFmtId="166" fontId="2" fillId="0" borderId="0" xfId="0" applyNumberFormat="1" applyFont="1" applyFill="1" applyBorder="1" applyAlignment="1">
      <alignment horizontal="left"/>
    </xf>
    <xf numFmtId="166" fontId="8" fillId="0" borderId="0" xfId="0" applyNumberFormat="1" applyFont="1" applyFill="1" applyBorder="1" applyAlignment="1">
      <alignment horizontal="left"/>
    </xf>
    <xf numFmtId="0" fontId="1" fillId="0" borderId="8" xfId="0" applyFont="1" applyFill="1" applyBorder="1" applyAlignment="1">
      <alignment horizontal="center"/>
    </xf>
    <xf numFmtId="0" fontId="8" fillId="0" borderId="0" xfId="0" applyFont="1" applyFill="1" applyBorder="1" applyAlignment="1">
      <alignment horizontal="right"/>
    </xf>
    <xf numFmtId="1" fontId="0" fillId="0" borderId="0" xfId="0" applyNumberFormat="1" applyBorder="1"/>
    <xf numFmtId="2" fontId="0" fillId="0" borderId="0" xfId="0" applyNumberFormat="1" applyBorder="1"/>
    <xf numFmtId="0" fontId="19" fillId="0" borderId="0" xfId="0" applyFont="1"/>
    <xf numFmtId="0" fontId="20" fillId="0" borderId="0" xfId="0" applyFont="1"/>
    <xf numFmtId="0" fontId="21" fillId="0" borderId="0" xfId="0" applyFont="1"/>
    <xf numFmtId="0" fontId="13" fillId="0" borderId="0" xfId="0" applyFont="1" applyBorder="1" applyAlignment="1">
      <alignment horizontal="right"/>
    </xf>
    <xf numFmtId="0" fontId="0" fillId="0" borderId="0" xfId="0" applyBorder="1" applyAlignment="1">
      <alignment horizontal="right"/>
    </xf>
    <xf numFmtId="167" fontId="16" fillId="0" borderId="0" xfId="0" applyNumberFormat="1" applyFont="1" applyBorder="1"/>
    <xf numFmtId="0" fontId="25" fillId="0" borderId="0" xfId="33" applyFont="1"/>
    <xf numFmtId="2" fontId="0" fillId="0" borderId="0" xfId="0" applyNumberFormat="1" applyFill="1" applyBorder="1" applyAlignment="1"/>
    <xf numFmtId="164" fontId="0" fillId="0" borderId="0" xfId="0" applyNumberFormat="1" applyFill="1" applyBorder="1" applyAlignment="1"/>
    <xf numFmtId="164" fontId="0" fillId="0" borderId="2" xfId="0" applyNumberFormat="1" applyFill="1" applyBorder="1" applyAlignment="1"/>
    <xf numFmtId="167" fontId="0" fillId="0" borderId="0" xfId="0" applyNumberFormat="1" applyFill="1" applyBorder="1" applyAlignment="1"/>
    <xf numFmtId="165" fontId="0" fillId="0" borderId="0" xfId="0" applyNumberFormat="1" applyFill="1" applyBorder="1" applyAlignment="1"/>
    <xf numFmtId="167" fontId="0" fillId="0" borderId="2" xfId="0" applyNumberFormat="1" applyFill="1" applyBorder="1" applyAlignment="1"/>
    <xf numFmtId="165" fontId="0" fillId="0" borderId="2" xfId="0" applyNumberFormat="1" applyFill="1" applyBorder="1" applyAlignment="1"/>
    <xf numFmtId="2" fontId="0" fillId="0" borderId="2" xfId="0" applyNumberFormat="1" applyFill="1" applyBorder="1" applyAlignment="1"/>
    <xf numFmtId="1" fontId="0" fillId="0" borderId="0" xfId="0" applyNumberFormat="1" applyFill="1" applyBorder="1" applyAlignment="1"/>
    <xf numFmtId="1" fontId="0" fillId="0" borderId="2" xfId="0" applyNumberFormat="1" applyFill="1" applyBorder="1" applyAlignment="1"/>
    <xf numFmtId="2" fontId="0" fillId="0" borderId="7" xfId="0" applyNumberFormat="1" applyFill="1" applyBorder="1" applyAlignment="1"/>
    <xf numFmtId="2" fontId="0" fillId="0" borderId="13" xfId="0" applyNumberFormat="1" applyFill="1" applyBorder="1" applyAlignment="1"/>
    <xf numFmtId="164" fontId="0" fillId="0" borderId="7" xfId="0" applyNumberFormat="1" applyFill="1" applyBorder="1" applyAlignment="1"/>
    <xf numFmtId="164" fontId="0" fillId="0" borderId="13" xfId="0" applyNumberFormat="1" applyFill="1" applyBorder="1" applyAlignment="1"/>
    <xf numFmtId="164" fontId="13" fillId="0" borderId="0" xfId="0" applyNumberFormat="1" applyFont="1"/>
    <xf numFmtId="1" fontId="13" fillId="0" borderId="0" xfId="0" applyNumberFormat="1" applyFont="1"/>
    <xf numFmtId="0" fontId="26" fillId="0" borderId="0" xfId="0" applyFont="1"/>
    <xf numFmtId="0" fontId="27" fillId="0" borderId="0" xfId="0" applyFont="1"/>
    <xf numFmtId="0" fontId="28" fillId="0" borderId="0" xfId="0" applyFont="1"/>
    <xf numFmtId="0" fontId="1" fillId="0" borderId="8" xfId="0" applyFont="1" applyFill="1" applyBorder="1" applyAlignment="1">
      <alignment horizontal="center"/>
    </xf>
    <xf numFmtId="166" fontId="2" fillId="0" borderId="0" xfId="0" applyNumberFormat="1" applyFont="1" applyFill="1" applyBorder="1" applyAlignment="1">
      <alignment horizontal="left"/>
    </xf>
    <xf numFmtId="166" fontId="8" fillId="0" borderId="0" xfId="0" applyNumberFormat="1" applyFont="1" applyFill="1" applyBorder="1" applyAlignment="1">
      <alignment horizontal="left"/>
    </xf>
    <xf numFmtId="0" fontId="8" fillId="0" borderId="0" xfId="0" applyFont="1" applyAlignment="1">
      <alignment horizontal="center"/>
    </xf>
    <xf numFmtId="0" fontId="0" fillId="0" borderId="0" xfId="0" applyAlignment="1">
      <alignment horizontal="center"/>
    </xf>
    <xf numFmtId="0" fontId="0" fillId="0" borderId="5" xfId="0" applyFill="1" applyBorder="1" applyAlignment="1">
      <alignment horizontal="center"/>
    </xf>
    <xf numFmtId="0" fontId="0" fillId="0" borderId="4" xfId="0" applyFill="1" applyBorder="1" applyAlignment="1">
      <alignment horizontal="center"/>
    </xf>
    <xf numFmtId="0" fontId="0" fillId="0" borderId="6" xfId="0" applyBorder="1" applyAlignment="1">
      <alignment horizontal="center"/>
    </xf>
    <xf numFmtId="0" fontId="0" fillId="0" borderId="5" xfId="0" applyBorder="1" applyAlignment="1">
      <alignment horizontal="center"/>
    </xf>
    <xf numFmtId="0" fontId="0" fillId="0" borderId="4" xfId="0" applyBorder="1" applyAlignment="1">
      <alignment horizontal="center"/>
    </xf>
    <xf numFmtId="0" fontId="0" fillId="46" borderId="5" xfId="0" applyFill="1" applyBorder="1" applyAlignment="1">
      <alignment horizontal="center"/>
    </xf>
    <xf numFmtId="0" fontId="0" fillId="47" borderId="6" xfId="0" applyFill="1" applyBorder="1" applyAlignment="1">
      <alignment horizontal="center"/>
    </xf>
    <xf numFmtId="0" fontId="0" fillId="47" borderId="5" xfId="0" applyFill="1" applyBorder="1" applyAlignment="1">
      <alignment horizontal="center"/>
    </xf>
    <xf numFmtId="0" fontId="0" fillId="47" borderId="4" xfId="0" applyFill="1" applyBorder="1" applyAlignment="1">
      <alignment horizontal="center"/>
    </xf>
    <xf numFmtId="0" fontId="0" fillId="48" borderId="5" xfId="0" applyFill="1" applyBorder="1" applyAlignment="1">
      <alignment horizontal="center"/>
    </xf>
  </cellXfs>
  <cellStyles count="34">
    <cellStyle name="Followed Hyperlink_Underwood Table 9.9" xfId="24" xr:uid="{00000000-0005-0000-0000-000000000000}"/>
    <cellStyle name="Följd hyperlänk" xfId="2" builtinId="9" hidden="1"/>
    <cellStyle name="Följd hyperlänk" xfId="4" builtinId="9" hidden="1"/>
    <cellStyle name="Följd hyperlänk" xfId="6" builtinId="9" hidden="1"/>
    <cellStyle name="Följd hyperlänk" xfId="8" builtinId="9" hidden="1"/>
    <cellStyle name="Följd hyperlänk" xfId="10" builtinId="9" hidden="1"/>
    <cellStyle name="Följd hyperlänk" xfId="12" builtinId="9" hidden="1"/>
    <cellStyle name="Följd hyperlänk" xfId="14" builtinId="9" hidden="1"/>
    <cellStyle name="Följd hyperlänk" xfId="16" builtinId="9" hidden="1"/>
    <cellStyle name="Följd hyperlänk" xfId="18" builtinId="9" hidden="1"/>
    <cellStyle name="Följd hyperlänk" xfId="20" builtinId="9" hidden="1"/>
    <cellStyle name="Följd hyperlänk" xfId="22" builtinId="9" hidden="1"/>
    <cellStyle name="Följd hyperlänk" xfId="26" builtinId="9" hidden="1"/>
    <cellStyle name="Följd hyperlänk" xfId="28" builtinId="9" hidden="1"/>
    <cellStyle name="Följd hyperlänk" xfId="30" builtinId="9" hidden="1"/>
    <cellStyle name="Följd hyperlänk" xfId="32" builtinId="9" hidden="1"/>
    <cellStyle name="Hyperlänk" xfId="1" builtinId="8" hidden="1"/>
    <cellStyle name="Hyperlänk" xfId="3" builtinId="8" hidden="1"/>
    <cellStyle name="Hyperlänk" xfId="5" builtinId="8" hidden="1"/>
    <cellStyle name="Hyperlänk" xfId="7" builtinId="8" hidden="1"/>
    <cellStyle name="Hyperlänk" xfId="9" builtinId="8" hidden="1"/>
    <cellStyle name="Hyperlänk" xfId="11" builtinId="8" hidden="1"/>
    <cellStyle name="Hyperlänk" xfId="13" builtinId="8" hidden="1"/>
    <cellStyle name="Hyperlänk" xfId="15" builtinId="8" hidden="1"/>
    <cellStyle name="Hyperlänk" xfId="17" builtinId="8" hidden="1"/>
    <cellStyle name="Hyperlänk" xfId="19" builtinId="8" hidden="1"/>
    <cellStyle name="Hyperlänk" xfId="21" builtinId="8" hidden="1"/>
    <cellStyle name="Hyperlänk" xfId="25" builtinId="8" hidden="1"/>
    <cellStyle name="Hyperlänk" xfId="27" builtinId="8" hidden="1"/>
    <cellStyle name="Hyperlänk" xfId="29" builtinId="8" hidden="1"/>
    <cellStyle name="Hyperlänk" xfId="31" builtinId="8" hidden="1"/>
    <cellStyle name="Normal" xfId="0" builtinId="0"/>
    <cellStyle name="Normal 2" xfId="23" xr:uid="{00000000-0005-0000-0000-000020000000}"/>
    <cellStyle name="Rubrik" xfId="33" builtinId="15"/>
  </cellStyles>
  <dxfs count="0"/>
  <tableStyles count="0" defaultTableStyle="TableStyleMedium9" defaultPivotStyle="PivotStyleMedium7"/>
  <colors>
    <mruColors>
      <color rgb="FF0233FF"/>
      <color rgb="FFEFE783"/>
      <color rgb="FFE8E583"/>
      <color rgb="FFEAE683"/>
      <color rgb="FFFEC87D"/>
      <color rgb="FF01B0F0"/>
      <color rgb="FFBDD7EE"/>
      <color rgb="FFFEC97D"/>
      <color rgb="FFE4E4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Verdana"/>
                <a:ea typeface="Verdana"/>
                <a:cs typeface="Verdana"/>
              </a:defRPr>
            </a:pPr>
            <a:r>
              <a:rPr lang="sv-SE" sz="1000"/>
              <a:t>Mean fecundity of plants</a:t>
            </a:r>
          </a:p>
          <a:p>
            <a:pPr>
              <a:defRPr sz="1000" b="1" i="0" u="none" strike="noStrike" baseline="0">
                <a:solidFill>
                  <a:srgbClr val="000000"/>
                </a:solidFill>
                <a:latin typeface="Verdana"/>
                <a:ea typeface="Verdana"/>
                <a:cs typeface="Verdana"/>
              </a:defRPr>
            </a:pPr>
            <a:r>
              <a:rPr lang="sv-SE" sz="1000"/>
              <a:t>with 95%-confidence limits</a:t>
            </a:r>
          </a:p>
        </c:rich>
      </c:tx>
      <c:layout>
        <c:manualLayout>
          <c:xMode val="edge"/>
          <c:yMode val="edge"/>
          <c:x val="0.28702522354197202"/>
          <c:y val="7.8528684038800506E-2"/>
        </c:manualLayout>
      </c:layout>
      <c:overlay val="0"/>
      <c:spPr>
        <a:noFill/>
        <a:ln w="25400">
          <a:noFill/>
        </a:ln>
      </c:spPr>
    </c:title>
    <c:autoTitleDeleted val="0"/>
    <c:plotArea>
      <c:layout>
        <c:manualLayout>
          <c:layoutTarget val="inner"/>
          <c:xMode val="edge"/>
          <c:yMode val="edge"/>
          <c:x val="0.12301080148558"/>
          <c:y val="0.25641819632845397"/>
          <c:w val="0.85196369917790404"/>
          <c:h val="0.54580444647056603"/>
        </c:manualLayout>
      </c:layout>
      <c:barChart>
        <c:barDir val="col"/>
        <c:grouping val="clustered"/>
        <c:varyColors val="0"/>
        <c:ser>
          <c:idx val="0"/>
          <c:order val="0"/>
          <c:spPr>
            <a:solidFill>
              <a:srgbClr val="E4E482"/>
            </a:solidFill>
            <a:ln>
              <a:solidFill>
                <a:schemeClr val="bg1">
                  <a:lumMod val="65000"/>
                </a:schemeClr>
              </a:solidFill>
            </a:ln>
          </c:spPr>
          <c:invertIfNegative val="0"/>
          <c:dPt>
            <c:idx val="1"/>
            <c:invertIfNegative val="0"/>
            <c:bubble3D val="0"/>
            <c:spPr>
              <a:solidFill>
                <a:srgbClr val="EAE683"/>
              </a:solidFill>
              <a:ln>
                <a:solidFill>
                  <a:schemeClr val="bg1">
                    <a:lumMod val="65000"/>
                  </a:schemeClr>
                </a:solidFill>
              </a:ln>
            </c:spPr>
            <c:extLst>
              <c:ext xmlns:c16="http://schemas.microsoft.com/office/drawing/2014/chart" uri="{C3380CC4-5D6E-409C-BE32-E72D297353CC}">
                <c16:uniqueId val="{00000001-A0CA-734F-8239-11111DD1A934}"/>
              </c:ext>
            </c:extLst>
          </c:dPt>
          <c:dPt>
            <c:idx val="2"/>
            <c:invertIfNegative val="0"/>
            <c:bubble3D val="0"/>
            <c:spPr>
              <a:solidFill>
                <a:srgbClr val="FEC97D"/>
              </a:solidFill>
              <a:ln>
                <a:solidFill>
                  <a:schemeClr val="bg1">
                    <a:lumMod val="65000"/>
                  </a:schemeClr>
                </a:solidFill>
              </a:ln>
            </c:spPr>
            <c:extLst>
              <c:ext xmlns:c16="http://schemas.microsoft.com/office/drawing/2014/chart" uri="{C3380CC4-5D6E-409C-BE32-E72D297353CC}">
                <c16:uniqueId val="{00000003-A0CA-734F-8239-11111DD1A934}"/>
              </c:ext>
            </c:extLst>
          </c:dPt>
          <c:errBars>
            <c:errBarType val="both"/>
            <c:errValType val="cust"/>
            <c:noEndCap val="0"/>
            <c:plus>
              <c:numRef>
                <c:f>'Tabell 9.1, 9.4, 9.5 och 9.6'!$D$66:$F$66</c:f>
                <c:numCache>
                  <c:formatCode>General</c:formatCode>
                  <c:ptCount val="3"/>
                  <c:pt idx="0">
                    <c:v>5.1737729347337984</c:v>
                  </c:pt>
                  <c:pt idx="1">
                    <c:v>4.2936387019537445</c:v>
                  </c:pt>
                  <c:pt idx="2">
                    <c:v>6.1821251136933251</c:v>
                  </c:pt>
                </c:numCache>
              </c:numRef>
            </c:plus>
            <c:minus>
              <c:numRef>
                <c:f>'Tabell 9.1, 9.4, 9.5 och 9.6'!$D$66:$F$66</c:f>
                <c:numCache>
                  <c:formatCode>General</c:formatCode>
                  <c:ptCount val="3"/>
                  <c:pt idx="0">
                    <c:v>5.1737729347337984</c:v>
                  </c:pt>
                  <c:pt idx="1">
                    <c:v>4.2936387019537445</c:v>
                  </c:pt>
                  <c:pt idx="2">
                    <c:v>6.1821251136933251</c:v>
                  </c:pt>
                </c:numCache>
              </c:numRef>
            </c:minus>
            <c:spPr>
              <a:ln w="12700">
                <a:solidFill>
                  <a:srgbClr val="000000"/>
                </a:solidFill>
                <a:prstDash val="solid"/>
              </a:ln>
            </c:spPr>
          </c:errBars>
          <c:cat>
            <c:strRef>
              <c:f>'Tabell 9.1, 9.4, 9.5 och 9.6'!$D$62:$F$62</c:f>
              <c:strCache>
                <c:ptCount val="3"/>
                <c:pt idx="0">
                  <c:v>Control</c:v>
                </c:pt>
                <c:pt idx="1">
                  <c:v>Cages with openings</c:v>
                </c:pt>
                <c:pt idx="2">
                  <c:v>Cages</c:v>
                </c:pt>
              </c:strCache>
            </c:strRef>
          </c:cat>
          <c:val>
            <c:numRef>
              <c:f>'Tabell 9.1, 9.4, 9.5 och 9.6'!$D$63:$F$63</c:f>
              <c:numCache>
                <c:formatCode>0.0</c:formatCode>
                <c:ptCount val="3"/>
                <c:pt idx="0">
                  <c:v>79.766666666666666</c:v>
                </c:pt>
                <c:pt idx="1">
                  <c:v>78.7</c:v>
                </c:pt>
                <c:pt idx="2">
                  <c:v>60.033333333333331</c:v>
                </c:pt>
              </c:numCache>
            </c:numRef>
          </c:val>
          <c:extLst>
            <c:ext xmlns:c16="http://schemas.microsoft.com/office/drawing/2014/chart" uri="{C3380CC4-5D6E-409C-BE32-E72D297353CC}">
              <c16:uniqueId val="{00000004-A0CA-734F-8239-11111DD1A934}"/>
            </c:ext>
          </c:extLst>
        </c:ser>
        <c:dLbls>
          <c:showLegendKey val="0"/>
          <c:showVal val="0"/>
          <c:showCatName val="0"/>
          <c:showSerName val="0"/>
          <c:showPercent val="0"/>
          <c:showBubbleSize val="0"/>
        </c:dLbls>
        <c:gapWidth val="150"/>
        <c:axId val="1828095664"/>
        <c:axId val="-2004187920"/>
      </c:barChart>
      <c:catAx>
        <c:axId val="1828095664"/>
        <c:scaling>
          <c:orientation val="minMax"/>
        </c:scaling>
        <c:delete val="0"/>
        <c:axPos val="b"/>
        <c:title>
          <c:tx>
            <c:rich>
              <a:bodyPr/>
              <a:lstStyle/>
              <a:p>
                <a:pPr>
                  <a:defRPr sz="900" b="1" i="0" u="none" strike="noStrike" baseline="0">
                    <a:solidFill>
                      <a:srgbClr val="000000"/>
                    </a:solidFill>
                    <a:latin typeface="Verdana"/>
                    <a:ea typeface="Verdana"/>
                    <a:cs typeface="Verdana"/>
                  </a:defRPr>
                </a:pPr>
                <a:r>
                  <a:rPr lang="sv-SE" sz="900"/>
                  <a:t>Treatment</a:t>
                </a:r>
              </a:p>
            </c:rich>
          </c:tx>
          <c:layout>
            <c:manualLayout>
              <c:xMode val="edge"/>
              <c:yMode val="edge"/>
              <c:x val="0.47154140569472203"/>
              <c:y val="0.89013745296877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Verdana"/>
                <a:ea typeface="Verdana"/>
                <a:cs typeface="Verdana"/>
              </a:defRPr>
            </a:pPr>
            <a:endParaRPr lang="sv-SE"/>
          </a:p>
        </c:txPr>
        <c:crossAx val="-2004187920"/>
        <c:crosses val="autoZero"/>
        <c:auto val="1"/>
        <c:lblAlgn val="ctr"/>
        <c:lblOffset val="100"/>
        <c:tickLblSkip val="1"/>
        <c:tickMarkSkip val="1"/>
        <c:noMultiLvlLbl val="0"/>
      </c:catAx>
      <c:valAx>
        <c:axId val="-2004187920"/>
        <c:scaling>
          <c:orientation val="minMax"/>
          <c:max val="90"/>
          <c:min val="50"/>
        </c:scaling>
        <c:delete val="0"/>
        <c:axPos val="l"/>
        <c:title>
          <c:tx>
            <c:rich>
              <a:bodyPr/>
              <a:lstStyle/>
              <a:p>
                <a:pPr>
                  <a:defRPr sz="900" b="1" i="0" u="none" strike="noStrike" baseline="0">
                    <a:solidFill>
                      <a:srgbClr val="000000"/>
                    </a:solidFill>
                    <a:latin typeface="Verdana"/>
                    <a:ea typeface="Verdana"/>
                    <a:cs typeface="Verdana"/>
                  </a:defRPr>
                </a:pPr>
                <a:r>
                  <a:rPr lang="sv-SE" sz="900"/>
                  <a:t>Fecundity %</a:t>
                </a:r>
              </a:p>
            </c:rich>
          </c:tx>
          <c:layout>
            <c:manualLayout>
              <c:xMode val="edge"/>
              <c:yMode val="edge"/>
              <c:x val="2.9613711468750699E-2"/>
              <c:y val="0.4102691141255260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Verdana"/>
                <a:ea typeface="Verdana"/>
                <a:cs typeface="Verdana"/>
              </a:defRPr>
            </a:pPr>
            <a:endParaRPr lang="sv-SE"/>
          </a:p>
        </c:txPr>
        <c:crossAx val="1828095664"/>
        <c:crosses val="autoZero"/>
        <c:crossBetween val="between"/>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Verdana"/>
          <a:ea typeface="Verdana"/>
          <a:cs typeface="Verdana"/>
        </a:defRPr>
      </a:pPr>
      <a:endParaRPr lang="sv-SE"/>
    </a:p>
  </c:txPr>
  <c:printSettings>
    <c:headerFooter/>
    <c:pageMargins b="0.75" l="0.7" r="0.7" t="0.75"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Verdana"/>
                <a:ea typeface="Verdana"/>
                <a:cs typeface="Verdana"/>
              </a:defRPr>
            </a:pPr>
            <a:r>
              <a:rPr lang="sv-SE" sz="1000"/>
              <a:t>Mean fecundity of plants</a:t>
            </a:r>
          </a:p>
          <a:p>
            <a:pPr>
              <a:defRPr sz="1000" b="1" i="0" u="none" strike="noStrike" baseline="0">
                <a:solidFill>
                  <a:srgbClr val="000000"/>
                </a:solidFill>
                <a:latin typeface="Verdana"/>
                <a:ea typeface="Verdana"/>
                <a:cs typeface="Verdana"/>
              </a:defRPr>
            </a:pPr>
            <a:r>
              <a:rPr lang="sv-SE" sz="1000"/>
              <a:t>with 95%-confidence limits</a:t>
            </a:r>
          </a:p>
        </c:rich>
      </c:tx>
      <c:layout>
        <c:manualLayout>
          <c:xMode val="edge"/>
          <c:yMode val="edge"/>
          <c:x val="0.28702522354197202"/>
          <c:y val="7.8528684038800506E-2"/>
        </c:manualLayout>
      </c:layout>
      <c:overlay val="0"/>
      <c:spPr>
        <a:noFill/>
        <a:ln w="25400">
          <a:noFill/>
        </a:ln>
      </c:spPr>
    </c:title>
    <c:autoTitleDeleted val="0"/>
    <c:plotArea>
      <c:layout>
        <c:manualLayout>
          <c:layoutTarget val="inner"/>
          <c:xMode val="edge"/>
          <c:yMode val="edge"/>
          <c:x val="0.12301080148558"/>
          <c:y val="0.25641819632845397"/>
          <c:w val="0.85196369917790404"/>
          <c:h val="0.54580444647056603"/>
        </c:manualLayout>
      </c:layout>
      <c:barChart>
        <c:barDir val="col"/>
        <c:grouping val="clustered"/>
        <c:varyColors val="0"/>
        <c:ser>
          <c:idx val="0"/>
          <c:order val="0"/>
          <c:spPr>
            <a:solidFill>
              <a:srgbClr val="E4E482"/>
            </a:solidFill>
            <a:ln>
              <a:solidFill>
                <a:schemeClr val="bg1">
                  <a:lumMod val="65000"/>
                </a:schemeClr>
              </a:solidFill>
            </a:ln>
          </c:spPr>
          <c:invertIfNegative val="0"/>
          <c:dPt>
            <c:idx val="1"/>
            <c:invertIfNegative val="0"/>
            <c:bubble3D val="0"/>
            <c:spPr>
              <a:solidFill>
                <a:srgbClr val="EAE683"/>
              </a:solidFill>
              <a:ln>
                <a:solidFill>
                  <a:schemeClr val="bg1">
                    <a:lumMod val="65000"/>
                  </a:schemeClr>
                </a:solidFill>
              </a:ln>
            </c:spPr>
            <c:extLst>
              <c:ext xmlns:c16="http://schemas.microsoft.com/office/drawing/2014/chart" uri="{C3380CC4-5D6E-409C-BE32-E72D297353CC}">
                <c16:uniqueId val="{00000001-43BF-574A-AD47-E9952362F5BA}"/>
              </c:ext>
            </c:extLst>
          </c:dPt>
          <c:dPt>
            <c:idx val="2"/>
            <c:invertIfNegative val="0"/>
            <c:bubble3D val="0"/>
            <c:spPr>
              <a:solidFill>
                <a:srgbClr val="FEC97D"/>
              </a:solidFill>
              <a:ln>
                <a:solidFill>
                  <a:schemeClr val="bg1">
                    <a:lumMod val="65000"/>
                  </a:schemeClr>
                </a:solidFill>
              </a:ln>
            </c:spPr>
            <c:extLst>
              <c:ext xmlns:c16="http://schemas.microsoft.com/office/drawing/2014/chart" uri="{C3380CC4-5D6E-409C-BE32-E72D297353CC}">
                <c16:uniqueId val="{00000003-43BF-574A-AD47-E9952362F5BA}"/>
              </c:ext>
            </c:extLst>
          </c:dPt>
          <c:errBars>
            <c:errBarType val="both"/>
            <c:errValType val="cust"/>
            <c:noEndCap val="0"/>
            <c:plus>
              <c:numRef>
                <c:f>'Tabell 9.4 alt. II  o R skript'!$C$105:$E$105</c:f>
                <c:numCache>
                  <c:formatCode>General</c:formatCode>
                  <c:ptCount val="3"/>
                  <c:pt idx="0">
                    <c:v>5.1737729344704952</c:v>
                  </c:pt>
                  <c:pt idx="1">
                    <c:v>4.29363870228969</c:v>
                  </c:pt>
                  <c:pt idx="2">
                    <c:v>6.1821251142506988</c:v>
                  </c:pt>
                </c:numCache>
              </c:numRef>
            </c:plus>
            <c:minus>
              <c:numRef>
                <c:f>'Tabell 9.4 alt. II  o R skript'!$C$105:$E$105</c:f>
                <c:numCache>
                  <c:formatCode>General</c:formatCode>
                  <c:ptCount val="3"/>
                  <c:pt idx="0">
                    <c:v>5.1737729344704952</c:v>
                  </c:pt>
                  <c:pt idx="1">
                    <c:v>4.29363870228969</c:v>
                  </c:pt>
                  <c:pt idx="2">
                    <c:v>6.1821251142506988</c:v>
                  </c:pt>
                </c:numCache>
              </c:numRef>
            </c:minus>
            <c:spPr>
              <a:ln w="12700">
                <a:solidFill>
                  <a:srgbClr val="000000"/>
                </a:solidFill>
                <a:prstDash val="solid"/>
              </a:ln>
            </c:spPr>
          </c:errBars>
          <c:cat>
            <c:strRef>
              <c:f>'Tabell 9.4 alt. II  o R skript'!$C$101:$E$101</c:f>
              <c:strCache>
                <c:ptCount val="3"/>
                <c:pt idx="0">
                  <c:v>Control</c:v>
                </c:pt>
                <c:pt idx="1">
                  <c:v>Cages with openings</c:v>
                </c:pt>
                <c:pt idx="2">
                  <c:v>Cages</c:v>
                </c:pt>
              </c:strCache>
            </c:strRef>
          </c:cat>
          <c:val>
            <c:numRef>
              <c:f>'Tabell 9.4 alt. II  o R skript'!$C$102:$E$102</c:f>
              <c:numCache>
                <c:formatCode>0.0</c:formatCode>
                <c:ptCount val="3"/>
                <c:pt idx="0">
                  <c:v>79.766666670000006</c:v>
                </c:pt>
                <c:pt idx="1">
                  <c:v>78.7</c:v>
                </c:pt>
                <c:pt idx="2">
                  <c:v>60.033333329999998</c:v>
                </c:pt>
              </c:numCache>
            </c:numRef>
          </c:val>
          <c:extLst>
            <c:ext xmlns:c16="http://schemas.microsoft.com/office/drawing/2014/chart" uri="{C3380CC4-5D6E-409C-BE32-E72D297353CC}">
              <c16:uniqueId val="{00000004-43BF-574A-AD47-E9952362F5BA}"/>
            </c:ext>
          </c:extLst>
        </c:ser>
        <c:dLbls>
          <c:showLegendKey val="0"/>
          <c:showVal val="0"/>
          <c:showCatName val="0"/>
          <c:showSerName val="0"/>
          <c:showPercent val="0"/>
          <c:showBubbleSize val="0"/>
        </c:dLbls>
        <c:gapWidth val="150"/>
        <c:axId val="-2023342960"/>
        <c:axId val="-2057500576"/>
      </c:barChart>
      <c:catAx>
        <c:axId val="-2023342960"/>
        <c:scaling>
          <c:orientation val="minMax"/>
        </c:scaling>
        <c:delete val="0"/>
        <c:axPos val="b"/>
        <c:title>
          <c:tx>
            <c:rich>
              <a:bodyPr/>
              <a:lstStyle/>
              <a:p>
                <a:pPr>
                  <a:defRPr sz="900" b="1" i="0" u="none" strike="noStrike" baseline="0">
                    <a:solidFill>
                      <a:srgbClr val="000000"/>
                    </a:solidFill>
                    <a:latin typeface="Verdana"/>
                    <a:ea typeface="Verdana"/>
                    <a:cs typeface="Verdana"/>
                  </a:defRPr>
                </a:pPr>
                <a:r>
                  <a:rPr lang="sv-SE" sz="900"/>
                  <a:t>Treatment</a:t>
                </a:r>
              </a:p>
            </c:rich>
          </c:tx>
          <c:layout>
            <c:manualLayout>
              <c:xMode val="edge"/>
              <c:yMode val="edge"/>
              <c:x val="0.47154140569472203"/>
              <c:y val="0.89013745296877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Verdana"/>
                <a:ea typeface="Verdana"/>
                <a:cs typeface="Verdana"/>
              </a:defRPr>
            </a:pPr>
            <a:endParaRPr lang="sv-SE"/>
          </a:p>
        </c:txPr>
        <c:crossAx val="-2057500576"/>
        <c:crosses val="autoZero"/>
        <c:auto val="1"/>
        <c:lblAlgn val="ctr"/>
        <c:lblOffset val="100"/>
        <c:tickLblSkip val="1"/>
        <c:tickMarkSkip val="1"/>
        <c:noMultiLvlLbl val="0"/>
      </c:catAx>
      <c:valAx>
        <c:axId val="-2057500576"/>
        <c:scaling>
          <c:orientation val="minMax"/>
          <c:max val="90"/>
          <c:min val="50"/>
        </c:scaling>
        <c:delete val="0"/>
        <c:axPos val="l"/>
        <c:title>
          <c:tx>
            <c:rich>
              <a:bodyPr/>
              <a:lstStyle/>
              <a:p>
                <a:pPr>
                  <a:defRPr sz="900" b="1" i="0" u="none" strike="noStrike" baseline="0">
                    <a:solidFill>
                      <a:srgbClr val="000000"/>
                    </a:solidFill>
                    <a:latin typeface="Verdana"/>
                    <a:ea typeface="Verdana"/>
                    <a:cs typeface="Verdana"/>
                  </a:defRPr>
                </a:pPr>
                <a:r>
                  <a:rPr lang="sv-SE" sz="900"/>
                  <a:t>Fecundity</a:t>
                </a:r>
              </a:p>
            </c:rich>
          </c:tx>
          <c:layout>
            <c:manualLayout>
              <c:xMode val="edge"/>
              <c:yMode val="edge"/>
              <c:x val="2.9613711468750699E-2"/>
              <c:y val="0.4102691141255260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Verdana"/>
                <a:ea typeface="Verdana"/>
                <a:cs typeface="Verdana"/>
              </a:defRPr>
            </a:pPr>
            <a:endParaRPr lang="sv-SE"/>
          </a:p>
        </c:txPr>
        <c:crossAx val="-2023342960"/>
        <c:crosses val="autoZero"/>
        <c:crossBetween val="between"/>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Verdana"/>
          <a:ea typeface="Verdana"/>
          <a:cs typeface="Verdana"/>
        </a:defRPr>
      </a:pPr>
      <a:endParaRPr lang="sv-SE"/>
    </a:p>
  </c:txPr>
  <c:printSettings>
    <c:headerFooter/>
    <c:pageMargins b="0.75" l="0.7" r="0.7" t="0.75" header="0.5" footer="0.5"/>
    <c:pageSetup paperSize="0" orientation="landscape" horizontalDpi="-4" verticalDpi="-4"/>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14</xdr:col>
      <xdr:colOff>228600</xdr:colOff>
      <xdr:row>8</xdr:row>
      <xdr:rowOff>165100</xdr:rowOff>
    </xdr:from>
    <xdr:to>
      <xdr:col>18</xdr:col>
      <xdr:colOff>12700</xdr:colOff>
      <xdr:row>14</xdr:row>
      <xdr:rowOff>152400</xdr:rowOff>
    </xdr:to>
    <xdr:sp macro="" textlink="">
      <xdr:nvSpPr>
        <xdr:cNvPr id="2" name="textruta 1">
          <a:extLst>
            <a:ext uri="{FF2B5EF4-FFF2-40B4-BE49-F238E27FC236}">
              <a16:creationId xmlns:a16="http://schemas.microsoft.com/office/drawing/2014/main" id="{6514E394-10CB-2646-B240-5802AD46AABC}"/>
            </a:ext>
          </a:extLst>
        </xdr:cNvPr>
        <xdr:cNvSpPr txBox="1"/>
      </xdr:nvSpPr>
      <xdr:spPr>
        <a:xfrm>
          <a:off x="11785600" y="1663700"/>
          <a:ext cx="3086100" cy="1206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 tabell 9.1 använder Underwood siffror för att beteckna småplatser (plots). Här använder jag unika bokstavskombinationer för att göra det tydligt att varje liten plats är unik och därmed nestad inom faktorn </a:t>
          </a:r>
          <a:r>
            <a:rPr lang="sv-SE" sz="1100" i="1"/>
            <a:t>Behandling</a:t>
          </a:r>
          <a:r>
            <a:rPr lang="sv-SE" sz="1100"/>
            <a:t>. Jag har gjort på motsvarand sätt med</a:t>
          </a:r>
          <a:r>
            <a:rPr lang="sv-SE" sz="1100" baseline="0"/>
            <a:t> replikaten (plantorna).</a:t>
          </a:r>
          <a:endParaRPr lang="sv-SE" sz="1100"/>
        </a:p>
      </xdr:txBody>
    </xdr:sp>
    <xdr:clientData/>
  </xdr:twoCellAnchor>
  <xdr:twoCellAnchor editAs="oneCell">
    <xdr:from>
      <xdr:col>0</xdr:col>
      <xdr:colOff>190500</xdr:colOff>
      <xdr:row>3</xdr:row>
      <xdr:rowOff>190500</xdr:rowOff>
    </xdr:from>
    <xdr:to>
      <xdr:col>14</xdr:col>
      <xdr:colOff>128456</xdr:colOff>
      <xdr:row>14</xdr:row>
      <xdr:rowOff>139700</xdr:rowOff>
    </xdr:to>
    <xdr:pic>
      <xdr:nvPicPr>
        <xdr:cNvPr id="4" name="Bildobjekt 3">
          <a:extLst>
            <a:ext uri="{FF2B5EF4-FFF2-40B4-BE49-F238E27FC236}">
              <a16:creationId xmlns:a16="http://schemas.microsoft.com/office/drawing/2014/main" id="{7CBA5974-C2B2-5042-A6F2-BC2BF6B25E7F}"/>
            </a:ext>
          </a:extLst>
        </xdr:cNvPr>
        <xdr:cNvPicPr>
          <a:picLocks noChangeAspect="1"/>
        </xdr:cNvPicPr>
      </xdr:nvPicPr>
      <xdr:blipFill>
        <a:blip xmlns:r="http://schemas.openxmlformats.org/officeDocument/2006/relationships" r:embed="rId1"/>
        <a:stretch>
          <a:fillRect/>
        </a:stretch>
      </xdr:blipFill>
      <xdr:spPr>
        <a:xfrm>
          <a:off x="190500" y="673100"/>
          <a:ext cx="11494956" cy="2184400"/>
        </a:xfrm>
        <a:prstGeom prst="rect">
          <a:avLst/>
        </a:prstGeom>
        <a:ln>
          <a:solidFill>
            <a:schemeClr val="tx1"/>
          </a:solidFill>
        </a:ln>
      </xdr:spPr>
    </xdr:pic>
    <xdr:clientData/>
  </xdr:twoCellAnchor>
  <xdr:twoCellAnchor>
    <xdr:from>
      <xdr:col>0</xdr:col>
      <xdr:colOff>508000</xdr:colOff>
      <xdr:row>15</xdr:row>
      <xdr:rowOff>165100</xdr:rowOff>
    </xdr:from>
    <xdr:to>
      <xdr:col>7</xdr:col>
      <xdr:colOff>165100</xdr:colOff>
      <xdr:row>20</xdr:row>
      <xdr:rowOff>114300</xdr:rowOff>
    </xdr:to>
    <xdr:sp macro="" textlink="">
      <xdr:nvSpPr>
        <xdr:cNvPr id="5" name="textruta 4">
          <a:extLst>
            <a:ext uri="{FF2B5EF4-FFF2-40B4-BE49-F238E27FC236}">
              <a16:creationId xmlns:a16="http://schemas.microsoft.com/office/drawing/2014/main" id="{7C34C15C-72F3-104B-99D2-93B32EB0CF24}"/>
            </a:ext>
          </a:extLst>
        </xdr:cNvPr>
        <xdr:cNvSpPr txBox="1"/>
      </xdr:nvSpPr>
      <xdr:spPr>
        <a:xfrm>
          <a:off x="508000" y="3086100"/>
          <a:ext cx="5435600" cy="96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Överst är de tre fixa nivåerna i  den fixerade faktorn </a:t>
          </a:r>
          <a:r>
            <a:rPr lang="sv-SE" sz="1100" i="1"/>
            <a:t>Behandling</a:t>
          </a:r>
          <a:r>
            <a:rPr lang="sv-SE" sz="1100"/>
            <a:t>. I mitten är den slumpade faktorn </a:t>
          </a:r>
          <a:r>
            <a:rPr lang="sv-SE" sz="1100" i="1"/>
            <a:t>Liten jordbit</a:t>
          </a:r>
          <a:r>
            <a:rPr lang="sv-SE" sz="1100"/>
            <a:t> nestad i </a:t>
          </a:r>
          <a:r>
            <a:rPr lang="sv-SE" sz="1100" i="1"/>
            <a:t>Behandling</a:t>
          </a:r>
          <a:r>
            <a:rPr lang="sv-SE" sz="1100"/>
            <a:t>. Nederst är de representativa plantorna inom småplatserna och behandlingarna, där fertiliteten mäts i slutet av experimentet. Det är givet från tabell 9.1 att </a:t>
          </a:r>
          <a:r>
            <a:rPr lang="sv-SE" sz="1100" i="1"/>
            <a:t>a</a:t>
          </a:r>
          <a:r>
            <a:rPr lang="sv-SE" sz="1100"/>
            <a:t> = 3, </a:t>
          </a:r>
          <a:r>
            <a:rPr lang="sv-SE" sz="1100" i="1"/>
            <a:t>b</a:t>
          </a:r>
          <a:r>
            <a:rPr lang="sv-SE" sz="1100"/>
            <a:t> = 5 och </a:t>
          </a:r>
          <a:r>
            <a:rPr lang="sv-SE" sz="1100" i="1"/>
            <a:t>n</a:t>
          </a:r>
          <a:r>
            <a:rPr lang="sv-SE" sz="1100"/>
            <a:t> = 6. </a:t>
          </a:r>
        </a:p>
        <a:p>
          <a:endParaRPr lang="sv-S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203200</xdr:colOff>
      <xdr:row>51</xdr:row>
      <xdr:rowOff>139700</xdr:rowOff>
    </xdr:from>
    <xdr:to>
      <xdr:col>5</xdr:col>
      <xdr:colOff>76200</xdr:colOff>
      <xdr:row>55</xdr:row>
      <xdr:rowOff>0</xdr:rowOff>
    </xdr:to>
    <xdr:sp macro="" textlink="">
      <xdr:nvSpPr>
        <xdr:cNvPr id="4" name="textruta 3">
          <a:extLst>
            <a:ext uri="{FF2B5EF4-FFF2-40B4-BE49-F238E27FC236}">
              <a16:creationId xmlns:a16="http://schemas.microsoft.com/office/drawing/2014/main" id="{00000000-0008-0000-0000-000004000000}"/>
            </a:ext>
          </a:extLst>
        </xdr:cNvPr>
        <xdr:cNvSpPr txBox="1"/>
      </xdr:nvSpPr>
      <xdr:spPr>
        <a:xfrm>
          <a:off x="203200" y="8534400"/>
          <a:ext cx="1714500" cy="673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Cochrans test</a:t>
          </a:r>
        </a:p>
        <a:p>
          <a:r>
            <a:rPr lang="en-US" sz="1100" b="0"/>
            <a:t>Antal varianser </a:t>
          </a:r>
          <a:r>
            <a:rPr lang="en-US" sz="1100" b="0" i="1"/>
            <a:t>a</a:t>
          </a:r>
          <a:r>
            <a:rPr lang="en-US" sz="1100" b="0"/>
            <a:t>*</a:t>
          </a:r>
          <a:r>
            <a:rPr lang="en-US" sz="1100" b="0" i="1"/>
            <a:t>b</a:t>
          </a:r>
          <a:r>
            <a:rPr lang="en-US" sz="1100" b="0"/>
            <a:t> =</a:t>
          </a:r>
          <a:r>
            <a:rPr lang="en-US" sz="1100" b="0" i="1"/>
            <a:t> k</a:t>
          </a:r>
        </a:p>
        <a:p>
          <a:r>
            <a:rPr lang="en-US" sz="1100" b="0"/>
            <a:t>antal frihetsgrader </a:t>
          </a:r>
          <a:r>
            <a:rPr lang="en-US" sz="1100" b="0" i="1"/>
            <a:t>n</a:t>
          </a:r>
          <a:r>
            <a:rPr lang="en-US" sz="1100" b="0"/>
            <a:t>-1 = </a:t>
          </a:r>
          <a:r>
            <a:rPr lang="en-US" sz="1100" b="0" i="1"/>
            <a:t>v</a:t>
          </a:r>
        </a:p>
        <a:p>
          <a:endParaRPr lang="en-US" sz="1100" b="0" i="1"/>
        </a:p>
        <a:p>
          <a:endParaRPr lang="sv-SE" sz="1100" b="0"/>
        </a:p>
      </xdr:txBody>
    </xdr:sp>
    <xdr:clientData/>
  </xdr:twoCellAnchor>
  <xdr:twoCellAnchor>
    <xdr:from>
      <xdr:col>20</xdr:col>
      <xdr:colOff>279400</xdr:colOff>
      <xdr:row>83</xdr:row>
      <xdr:rowOff>88900</xdr:rowOff>
    </xdr:from>
    <xdr:to>
      <xdr:col>21</xdr:col>
      <xdr:colOff>241300</xdr:colOff>
      <xdr:row>83</xdr:row>
      <xdr:rowOff>88900</xdr:rowOff>
    </xdr:to>
    <xdr:sp macro="" textlink="">
      <xdr:nvSpPr>
        <xdr:cNvPr id="6" name="Line 3">
          <a:extLst>
            <a:ext uri="{FF2B5EF4-FFF2-40B4-BE49-F238E27FC236}">
              <a16:creationId xmlns:a16="http://schemas.microsoft.com/office/drawing/2014/main" id="{00000000-0008-0000-0000-000006000000}"/>
            </a:ext>
          </a:extLst>
        </xdr:cNvPr>
        <xdr:cNvSpPr>
          <a:spLocks noChangeShapeType="1"/>
        </xdr:cNvSpPr>
      </xdr:nvSpPr>
      <xdr:spPr bwMode="auto">
        <a:xfrm>
          <a:off x="10198100" y="15240000"/>
          <a:ext cx="431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rtlCol="0"/>
        <a:lstStyle/>
        <a:p>
          <a:pPr algn="ctr"/>
          <a:endParaRPr lang="sv-SE"/>
        </a:p>
      </xdr:txBody>
    </xdr:sp>
    <xdr:clientData/>
  </xdr:twoCellAnchor>
  <xdr:twoCellAnchor>
    <xdr:from>
      <xdr:col>18</xdr:col>
      <xdr:colOff>38100</xdr:colOff>
      <xdr:row>71</xdr:row>
      <xdr:rowOff>76200</xdr:rowOff>
    </xdr:from>
    <xdr:to>
      <xdr:col>24</xdr:col>
      <xdr:colOff>419100</xdr:colOff>
      <xdr:row>75</xdr:row>
      <xdr:rowOff>0</xdr:rowOff>
    </xdr:to>
    <xdr:sp macro="" textlink="">
      <xdr:nvSpPr>
        <xdr:cNvPr id="2" name="textruta 1">
          <a:extLst>
            <a:ext uri="{FF2B5EF4-FFF2-40B4-BE49-F238E27FC236}">
              <a16:creationId xmlns:a16="http://schemas.microsoft.com/office/drawing/2014/main" id="{00000000-0008-0000-0000-000002000000}"/>
            </a:ext>
          </a:extLst>
        </xdr:cNvPr>
        <xdr:cNvSpPr txBox="1"/>
      </xdr:nvSpPr>
      <xdr:spPr>
        <a:xfrm>
          <a:off x="8064500" y="12560300"/>
          <a:ext cx="4203700" cy="762000"/>
        </a:xfrm>
        <a:prstGeom prst="rect">
          <a:avLst/>
        </a:prstGeom>
        <a:solidFill>
          <a:srgbClr val="FFFF00">
            <a:alpha val="63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Se bladet Tabell 9.4 alt. II för den nestade variansanalysen beräknad snabbt och enkelt med </a:t>
          </a:r>
          <a:r>
            <a:rPr lang="sv-SE" sz="1200" i="1"/>
            <a:t>Dataanalys</a:t>
          </a:r>
          <a:r>
            <a:rPr lang="sv-SE" sz="1200"/>
            <a:t> -&gt; </a:t>
          </a:r>
          <a:r>
            <a:rPr lang="sv-SE" sz="1200" i="1"/>
            <a:t>Anova :Två faktorer med reproducering </a:t>
          </a:r>
          <a:r>
            <a:rPr lang="sv-SE" sz="1200" i="0"/>
            <a:t>eller med paketet </a:t>
          </a:r>
          <a:r>
            <a:rPr lang="sv-SE" sz="1200" i="1"/>
            <a:t>GAD</a:t>
          </a:r>
          <a:r>
            <a:rPr lang="sv-SE" sz="1200" i="0"/>
            <a:t> i  programspråket</a:t>
          </a:r>
          <a:r>
            <a:rPr lang="sv-SE" sz="1200" i="1"/>
            <a:t> R</a:t>
          </a:r>
          <a:r>
            <a:rPr lang="sv-SE" sz="1200" i="0"/>
            <a:t>.</a:t>
          </a:r>
        </a:p>
      </xdr:txBody>
    </xdr:sp>
    <xdr:clientData/>
  </xdr:twoCellAnchor>
  <xdr:twoCellAnchor editAs="oneCell">
    <xdr:from>
      <xdr:col>29</xdr:col>
      <xdr:colOff>0</xdr:colOff>
      <xdr:row>42</xdr:row>
      <xdr:rowOff>0</xdr:rowOff>
    </xdr:from>
    <xdr:to>
      <xdr:col>37</xdr:col>
      <xdr:colOff>457200</xdr:colOff>
      <xdr:row>42</xdr:row>
      <xdr:rowOff>50800</xdr:rowOff>
    </xdr:to>
    <xdr:sp macro="" textlink="">
      <xdr:nvSpPr>
        <xdr:cNvPr id="1025" name="AutoShape 1">
          <a:extLst>
            <a:ext uri="{FF2B5EF4-FFF2-40B4-BE49-F238E27FC236}">
              <a16:creationId xmlns:a16="http://schemas.microsoft.com/office/drawing/2014/main" id="{B59DA887-9A9B-0447-9BD1-53FFCAB2303F}"/>
            </a:ext>
          </a:extLst>
        </xdr:cNvPr>
        <xdr:cNvSpPr>
          <a:spLocks noChangeAspect="1" noChangeArrowheads="1"/>
        </xdr:cNvSpPr>
      </xdr:nvSpPr>
      <xdr:spPr bwMode="auto">
        <a:xfrm>
          <a:off x="13906500" y="7175500"/>
          <a:ext cx="5588000" cy="50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29</xdr:col>
      <xdr:colOff>0</xdr:colOff>
      <xdr:row>42</xdr:row>
      <xdr:rowOff>0</xdr:rowOff>
    </xdr:from>
    <xdr:to>
      <xdr:col>37</xdr:col>
      <xdr:colOff>457200</xdr:colOff>
      <xdr:row>42</xdr:row>
      <xdr:rowOff>50800</xdr:rowOff>
    </xdr:to>
    <xdr:sp macro="" textlink="">
      <xdr:nvSpPr>
        <xdr:cNvPr id="1026" name="AutoShape 2">
          <a:extLst>
            <a:ext uri="{FF2B5EF4-FFF2-40B4-BE49-F238E27FC236}">
              <a16:creationId xmlns:a16="http://schemas.microsoft.com/office/drawing/2014/main" id="{8E33AC64-6D89-A14B-A8D9-AA2FD895556B}"/>
            </a:ext>
          </a:extLst>
        </xdr:cNvPr>
        <xdr:cNvSpPr>
          <a:spLocks noChangeAspect="1" noChangeArrowheads="1"/>
        </xdr:cNvSpPr>
      </xdr:nvSpPr>
      <xdr:spPr bwMode="auto">
        <a:xfrm>
          <a:off x="13906500" y="7175500"/>
          <a:ext cx="5588000" cy="50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381000</xdr:colOff>
      <xdr:row>1</xdr:row>
      <xdr:rowOff>50800</xdr:rowOff>
    </xdr:from>
    <xdr:to>
      <xdr:col>12</xdr:col>
      <xdr:colOff>127000</xdr:colOff>
      <xdr:row>8</xdr:row>
      <xdr:rowOff>165100</xdr:rowOff>
    </xdr:to>
    <xdr:sp macro="" textlink="">
      <xdr:nvSpPr>
        <xdr:cNvPr id="7" name="textruta 6">
          <a:extLst>
            <a:ext uri="{FF2B5EF4-FFF2-40B4-BE49-F238E27FC236}">
              <a16:creationId xmlns:a16="http://schemas.microsoft.com/office/drawing/2014/main" id="{786EE7D6-1C49-974D-9510-5A23F07696FA}"/>
            </a:ext>
          </a:extLst>
        </xdr:cNvPr>
        <xdr:cNvSpPr txBox="1"/>
      </xdr:nvSpPr>
      <xdr:spPr>
        <a:xfrm>
          <a:off x="1206500" y="254000"/>
          <a:ext cx="4457700" cy="153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Mätvariabel är </a:t>
          </a:r>
          <a:r>
            <a:rPr lang="sv-SE" sz="1100" i="1"/>
            <a:t>fekunditet</a:t>
          </a:r>
          <a:r>
            <a:rPr lang="sv-SE" sz="1100"/>
            <a:t> (d.v.s. potentiell fortplantningskapacitet i det här fallet mätt som andelen fertila blommor i procent). Det finns två faktorer. Den ena faktorn är </a:t>
          </a:r>
          <a:r>
            <a:rPr lang="sv-SE" sz="1100" i="1"/>
            <a:t>Behandling</a:t>
          </a:r>
          <a:r>
            <a:rPr lang="sv-SE" sz="1100"/>
            <a:t> med tre nivåer, vilka innebär att insekter har olika möjlighet att komma åt växterna. Den andra faktorn är </a:t>
          </a:r>
          <a:r>
            <a:rPr lang="sv-SE" sz="1100" i="1"/>
            <a:t>Liten jordbit </a:t>
          </a:r>
          <a:r>
            <a:rPr lang="sv-SE" sz="1100"/>
            <a:t>nestad i </a:t>
          </a:r>
          <a:r>
            <a:rPr lang="sv-SE" sz="1100" i="1"/>
            <a:t>Behandling</a:t>
          </a:r>
          <a:r>
            <a:rPr lang="sv-SE" sz="1100"/>
            <a:t> och den har fem nivåer bestående av olika jordplättar i de olika behandlingarna</a:t>
          </a:r>
          <a:r>
            <a:rPr lang="sv-SE" sz="1100" b="1"/>
            <a:t>. Se till att du är helt säker på hur de olika delarna av tabellen här nedan hör ihop med det du ser i figur 9.1 i kursboken och i figuren i den</a:t>
          </a:r>
          <a:r>
            <a:rPr lang="sv-SE" sz="1100" b="1" baseline="0"/>
            <a:t> föregående fliken</a:t>
          </a:r>
          <a:r>
            <a:rPr lang="sv-SE" sz="1100" b="1"/>
            <a:t>!</a:t>
          </a:r>
        </a:p>
      </xdr:txBody>
    </xdr:sp>
    <xdr:clientData/>
  </xdr:twoCellAnchor>
  <xdr:twoCellAnchor>
    <xdr:from>
      <xdr:col>6</xdr:col>
      <xdr:colOff>234950</xdr:colOff>
      <xdr:row>60</xdr:row>
      <xdr:rowOff>69849</xdr:rowOff>
    </xdr:from>
    <xdr:to>
      <xdr:col>17</xdr:col>
      <xdr:colOff>584200</xdr:colOff>
      <xdr:row>73</xdr:row>
      <xdr:rowOff>190340</xdr:rowOff>
    </xdr:to>
    <xdr:graphicFrame macro="">
      <xdr:nvGraphicFramePr>
        <xdr:cNvPr id="5" name="Chart -1023">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254000</xdr:colOff>
      <xdr:row>79</xdr:row>
      <xdr:rowOff>12700</xdr:rowOff>
    </xdr:from>
    <xdr:to>
      <xdr:col>35</xdr:col>
      <xdr:colOff>444500</xdr:colOff>
      <xdr:row>83</xdr:row>
      <xdr:rowOff>127000</xdr:rowOff>
    </xdr:to>
    <xdr:sp macro="" textlink="">
      <xdr:nvSpPr>
        <xdr:cNvPr id="8" name="textruta 7">
          <a:extLst>
            <a:ext uri="{FF2B5EF4-FFF2-40B4-BE49-F238E27FC236}">
              <a16:creationId xmlns:a16="http://schemas.microsoft.com/office/drawing/2014/main" id="{D4BDE0EF-F14C-8149-953E-33CB3237F7BE}"/>
            </a:ext>
          </a:extLst>
        </xdr:cNvPr>
        <xdr:cNvSpPr txBox="1"/>
      </xdr:nvSpPr>
      <xdr:spPr>
        <a:xfrm>
          <a:off x="12750800" y="16052800"/>
          <a:ext cx="4419600" cy="92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Kom ihåg att ett bra alternativ till att använda tabellerna är att använda kalkylatorn på denna webbsida för att beräkna </a:t>
          </a:r>
          <a:r>
            <a:rPr lang="sv-SE" sz="1100" i="1"/>
            <a:t>p</a:t>
          </a:r>
          <a:r>
            <a:rPr lang="sv-SE" sz="1100"/>
            <a:t>-värden: http://onlinestatbook.com/2/calculators/studentized_range_dist.html</a:t>
          </a:r>
        </a:p>
        <a:p>
          <a:r>
            <a:rPr lang="sv-SE" sz="1100"/>
            <a:t>så som vi har gjort i tidigare avsnitts övningar.</a:t>
          </a:r>
        </a:p>
      </xdr:txBody>
    </xdr:sp>
    <xdr:clientData/>
  </xdr:twoCellAnchor>
  <xdr:twoCellAnchor editAs="oneCell">
    <xdr:from>
      <xdr:col>0</xdr:col>
      <xdr:colOff>266700</xdr:colOff>
      <xdr:row>26</xdr:row>
      <xdr:rowOff>50800</xdr:rowOff>
    </xdr:from>
    <xdr:to>
      <xdr:col>17</xdr:col>
      <xdr:colOff>218319</xdr:colOff>
      <xdr:row>48</xdr:row>
      <xdr:rowOff>152400</xdr:rowOff>
    </xdr:to>
    <xdr:pic>
      <xdr:nvPicPr>
        <xdr:cNvPr id="11" name="Bildobjekt 10">
          <a:extLst>
            <a:ext uri="{FF2B5EF4-FFF2-40B4-BE49-F238E27FC236}">
              <a16:creationId xmlns:a16="http://schemas.microsoft.com/office/drawing/2014/main" id="{A6374805-52FA-4C42-BF5B-AD9009B8C7B0}"/>
            </a:ext>
          </a:extLst>
        </xdr:cNvPr>
        <xdr:cNvPicPr>
          <a:picLocks noChangeAspect="1"/>
        </xdr:cNvPicPr>
      </xdr:nvPicPr>
      <xdr:blipFill rotWithShape="1">
        <a:blip xmlns:r="http://schemas.openxmlformats.org/officeDocument/2006/relationships" r:embed="rId2"/>
        <a:srcRect l="11866" t="11272" r="4667" b="20000"/>
        <a:stretch/>
      </xdr:blipFill>
      <xdr:spPr>
        <a:xfrm>
          <a:off x="266700" y="5397500"/>
          <a:ext cx="7571619" cy="4572000"/>
        </a:xfrm>
        <a:prstGeom prst="rect">
          <a:avLst/>
        </a:prstGeom>
        <a:solidFill>
          <a:schemeClr val="bg1"/>
        </a:solidFill>
      </xdr:spPr>
    </xdr:pic>
    <xdr:clientData/>
  </xdr:twoCellAnchor>
  <xdr:twoCellAnchor>
    <xdr:from>
      <xdr:col>1</xdr:col>
      <xdr:colOff>584200</xdr:colOff>
      <xdr:row>46</xdr:row>
      <xdr:rowOff>3464</xdr:rowOff>
    </xdr:from>
    <xdr:to>
      <xdr:col>6</xdr:col>
      <xdr:colOff>342900</xdr:colOff>
      <xdr:row>47</xdr:row>
      <xdr:rowOff>66964</xdr:rowOff>
    </xdr:to>
    <xdr:sp macro="" textlink="">
      <xdr:nvSpPr>
        <xdr:cNvPr id="16" name="Rektangel 15">
          <a:extLst>
            <a:ext uri="{FF2B5EF4-FFF2-40B4-BE49-F238E27FC236}">
              <a16:creationId xmlns:a16="http://schemas.microsoft.com/office/drawing/2014/main" id="{F5385347-0E2A-164C-9335-9DE13F4E1185}"/>
            </a:ext>
          </a:extLst>
        </xdr:cNvPr>
        <xdr:cNvSpPr/>
      </xdr:nvSpPr>
      <xdr:spPr>
        <a:xfrm>
          <a:off x="1410855" y="9419937"/>
          <a:ext cx="2040081" cy="266700"/>
        </a:xfrm>
        <a:prstGeom prst="rect">
          <a:avLst/>
        </a:prstGeom>
        <a:noFill/>
        <a:ln w="50800">
          <a:solidFill>
            <a:srgbClr val="E8E58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6</xdr:col>
      <xdr:colOff>381000</xdr:colOff>
      <xdr:row>46</xdr:row>
      <xdr:rowOff>0</xdr:rowOff>
    </xdr:from>
    <xdr:to>
      <xdr:col>12</xdr:col>
      <xdr:colOff>0</xdr:colOff>
      <xdr:row>47</xdr:row>
      <xdr:rowOff>63500</xdr:rowOff>
    </xdr:to>
    <xdr:sp macro="" textlink="">
      <xdr:nvSpPr>
        <xdr:cNvPr id="22" name="Rektangel 21">
          <a:extLst>
            <a:ext uri="{FF2B5EF4-FFF2-40B4-BE49-F238E27FC236}">
              <a16:creationId xmlns:a16="http://schemas.microsoft.com/office/drawing/2014/main" id="{58B0D5C7-A4FA-8748-A08F-0FAD81855970}"/>
            </a:ext>
          </a:extLst>
        </xdr:cNvPr>
        <xdr:cNvSpPr/>
      </xdr:nvSpPr>
      <xdr:spPr>
        <a:xfrm>
          <a:off x="3479800" y="9410700"/>
          <a:ext cx="2057400" cy="266700"/>
        </a:xfrm>
        <a:prstGeom prst="rect">
          <a:avLst/>
        </a:prstGeom>
        <a:noFill/>
        <a:ln w="50800">
          <a:solidFill>
            <a:srgbClr val="EFE78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12</xdr:col>
      <xdr:colOff>50800</xdr:colOff>
      <xdr:row>46</xdr:row>
      <xdr:rowOff>0</xdr:rowOff>
    </xdr:from>
    <xdr:to>
      <xdr:col>17</xdr:col>
      <xdr:colOff>0</xdr:colOff>
      <xdr:row>47</xdr:row>
      <xdr:rowOff>64654</xdr:rowOff>
    </xdr:to>
    <xdr:sp macro="" textlink="">
      <xdr:nvSpPr>
        <xdr:cNvPr id="24" name="Rektangel 23">
          <a:extLst>
            <a:ext uri="{FF2B5EF4-FFF2-40B4-BE49-F238E27FC236}">
              <a16:creationId xmlns:a16="http://schemas.microsoft.com/office/drawing/2014/main" id="{82BD8A7F-2DC6-0A40-9084-C015C394E272}"/>
            </a:ext>
          </a:extLst>
        </xdr:cNvPr>
        <xdr:cNvSpPr/>
      </xdr:nvSpPr>
      <xdr:spPr>
        <a:xfrm>
          <a:off x="5606473" y="9416473"/>
          <a:ext cx="2041236" cy="267854"/>
        </a:xfrm>
        <a:prstGeom prst="rect">
          <a:avLst/>
        </a:prstGeom>
        <a:noFill/>
        <a:ln w="50800">
          <a:solidFill>
            <a:srgbClr val="FEC87D"/>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11</xdr:col>
      <xdr:colOff>342900</xdr:colOff>
      <xdr:row>49</xdr:row>
      <xdr:rowOff>114300</xdr:rowOff>
    </xdr:from>
    <xdr:to>
      <xdr:col>17</xdr:col>
      <xdr:colOff>508000</xdr:colOff>
      <xdr:row>54</xdr:row>
      <xdr:rowOff>0</xdr:rowOff>
    </xdr:to>
    <xdr:sp macro="" textlink="">
      <xdr:nvSpPr>
        <xdr:cNvPr id="3" name="textruta 2">
          <a:extLst>
            <a:ext uri="{FF2B5EF4-FFF2-40B4-BE49-F238E27FC236}">
              <a16:creationId xmlns:a16="http://schemas.microsoft.com/office/drawing/2014/main" id="{98B8BEC2-A69F-FF4B-AD3C-C17504095D6C}"/>
            </a:ext>
          </a:extLst>
        </xdr:cNvPr>
        <xdr:cNvSpPr txBox="1"/>
      </xdr:nvSpPr>
      <xdr:spPr>
        <a:xfrm>
          <a:off x="5524500" y="10134600"/>
          <a:ext cx="2603500" cy="9017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Slutsats</a:t>
          </a:r>
          <a:r>
            <a:rPr lang="sv-SE" sz="1100"/>
            <a:t>: Homogena varianser. Vi kan gå vidare med variansanalys. Vi tycks inte heller ha problem med missöden på det sätt som nämns på sidan 262 i kursboken.</a:t>
          </a:r>
        </a:p>
      </xdr:txBody>
    </xdr:sp>
    <xdr:clientData/>
  </xdr:twoCellAnchor>
  <xdr:twoCellAnchor editAs="oneCell">
    <xdr:from>
      <xdr:col>30</xdr:col>
      <xdr:colOff>622300</xdr:colOff>
      <xdr:row>92</xdr:row>
      <xdr:rowOff>101600</xdr:rowOff>
    </xdr:from>
    <xdr:to>
      <xdr:col>34</xdr:col>
      <xdr:colOff>292100</xdr:colOff>
      <xdr:row>94</xdr:row>
      <xdr:rowOff>125723</xdr:rowOff>
    </xdr:to>
    <xdr:pic>
      <xdr:nvPicPr>
        <xdr:cNvPr id="9" name="Bildobjekt 8">
          <a:extLst>
            <a:ext uri="{FF2B5EF4-FFF2-40B4-BE49-F238E27FC236}">
              <a16:creationId xmlns:a16="http://schemas.microsoft.com/office/drawing/2014/main" id="{5CBCD79A-59D7-D041-BED3-84FD17C6ADBE}"/>
            </a:ext>
          </a:extLst>
        </xdr:cNvPr>
        <xdr:cNvPicPr>
          <a:picLocks noChangeAspect="1"/>
        </xdr:cNvPicPr>
      </xdr:nvPicPr>
      <xdr:blipFill>
        <a:blip xmlns:r="http://schemas.openxmlformats.org/officeDocument/2006/relationships" r:embed="rId3"/>
        <a:stretch>
          <a:fillRect/>
        </a:stretch>
      </xdr:blipFill>
      <xdr:spPr>
        <a:xfrm>
          <a:off x="16383000" y="19418300"/>
          <a:ext cx="1892300" cy="430523"/>
        </a:xfrm>
        <a:prstGeom prst="rect">
          <a:avLst/>
        </a:prstGeom>
      </xdr:spPr>
    </xdr:pic>
    <xdr:clientData/>
  </xdr:twoCellAnchor>
  <xdr:twoCellAnchor>
    <xdr:from>
      <xdr:col>13</xdr:col>
      <xdr:colOff>203200</xdr:colOff>
      <xdr:row>78</xdr:row>
      <xdr:rowOff>381000</xdr:rowOff>
    </xdr:from>
    <xdr:to>
      <xdr:col>17</xdr:col>
      <xdr:colOff>647700</xdr:colOff>
      <xdr:row>84</xdr:row>
      <xdr:rowOff>12700</xdr:rowOff>
    </xdr:to>
    <xdr:sp macro="" textlink="">
      <xdr:nvSpPr>
        <xdr:cNvPr id="10" name="textruta 9">
          <a:extLst>
            <a:ext uri="{FF2B5EF4-FFF2-40B4-BE49-F238E27FC236}">
              <a16:creationId xmlns:a16="http://schemas.microsoft.com/office/drawing/2014/main" id="{8645E143-C81C-0249-B242-397B16852D6B}"/>
            </a:ext>
          </a:extLst>
        </xdr:cNvPr>
        <xdr:cNvSpPr txBox="1"/>
      </xdr:nvSpPr>
      <xdr:spPr>
        <a:xfrm>
          <a:off x="6096000" y="16510000"/>
          <a:ext cx="2171700" cy="1346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Här kan man se hur variation mellan småområden testas för att se om den skiljer sig mellan behandlingarna. Se sidan 262 i kursboken. Det finns inga tecken på missöden med experimentbehandlingar.</a:t>
          </a:r>
        </a:p>
      </xdr:txBody>
    </xdr:sp>
    <xdr:clientData/>
  </xdr:twoCellAnchor>
  <xdr:twoCellAnchor>
    <xdr:from>
      <xdr:col>30</xdr:col>
      <xdr:colOff>304800</xdr:colOff>
      <xdr:row>84</xdr:row>
      <xdr:rowOff>25400</xdr:rowOff>
    </xdr:from>
    <xdr:to>
      <xdr:col>36</xdr:col>
      <xdr:colOff>431800</xdr:colOff>
      <xdr:row>92</xdr:row>
      <xdr:rowOff>50800</xdr:rowOff>
    </xdr:to>
    <xdr:sp macro="" textlink="">
      <xdr:nvSpPr>
        <xdr:cNvPr id="12" name="textruta 11">
          <a:extLst>
            <a:ext uri="{FF2B5EF4-FFF2-40B4-BE49-F238E27FC236}">
              <a16:creationId xmlns:a16="http://schemas.microsoft.com/office/drawing/2014/main" id="{CDF2934F-F082-D940-AD19-B52C31144A32}"/>
            </a:ext>
          </a:extLst>
        </xdr:cNvPr>
        <xdr:cNvSpPr txBox="1"/>
      </xdr:nvSpPr>
      <xdr:spPr>
        <a:xfrm>
          <a:off x="16129000" y="17691100"/>
          <a:ext cx="3784600" cy="1676400"/>
        </a:xfrm>
        <a:prstGeom prst="rect">
          <a:avLst/>
        </a:prstGeom>
        <a:solidFill>
          <a:schemeClr val="lt1"/>
        </a:solidFill>
        <a:ln w="38100" cmpd="sng">
          <a:solidFill>
            <a:srgbClr val="92D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Detta är en experimentsituation som mycket liknar det första fallet beskrivet i sektion 8.6.4 på sidan 227 i kursboken. Därför vore det mer rimligt att göra ett </a:t>
          </a:r>
          <a:r>
            <a:rPr lang="sv-SE" sz="1100" b="1" i="1"/>
            <a:t>a priori</a:t>
          </a:r>
          <a:r>
            <a:rPr lang="sv-SE" sz="1100" b="1"/>
            <a:t>-test än det </a:t>
          </a:r>
          <a:r>
            <a:rPr lang="sv-SE" sz="1100" b="1" i="1"/>
            <a:t>a posteriori</a:t>
          </a:r>
          <a:r>
            <a:rPr lang="sv-SE" sz="1100" b="1"/>
            <a:t>-test som görs i tabell 9.5. Slutsatsen blir dock den samma att procedurkontroll och kontroll inte skiljer sig åt och att när insekterna inte kommer åt växterna ger de signifikant mindre mängd frukt. En viktig skillnad i denna experimentdesign är att vi har ytterligare en nivå med replikering här, jämfört med exemplet i sektion 8.6.4.</a:t>
          </a:r>
        </a:p>
      </xdr:txBody>
    </xdr:sp>
    <xdr:clientData/>
  </xdr:twoCellAnchor>
  <xdr:twoCellAnchor>
    <xdr:from>
      <xdr:col>12</xdr:col>
      <xdr:colOff>279400</xdr:colOff>
      <xdr:row>1</xdr:row>
      <xdr:rowOff>50800</xdr:rowOff>
    </xdr:from>
    <xdr:to>
      <xdr:col>19</xdr:col>
      <xdr:colOff>406400</xdr:colOff>
      <xdr:row>7</xdr:row>
      <xdr:rowOff>0</xdr:rowOff>
    </xdr:to>
    <xdr:sp macro="" textlink="">
      <xdr:nvSpPr>
        <xdr:cNvPr id="19" name="textruta 18">
          <a:extLst>
            <a:ext uri="{FF2B5EF4-FFF2-40B4-BE49-F238E27FC236}">
              <a16:creationId xmlns:a16="http://schemas.microsoft.com/office/drawing/2014/main" id="{DAEB566C-FAD6-C24F-A63D-4093FAAB8E66}"/>
            </a:ext>
          </a:extLst>
        </xdr:cNvPr>
        <xdr:cNvSpPr txBox="1"/>
      </xdr:nvSpPr>
      <xdr:spPr>
        <a:xfrm>
          <a:off x="5816600" y="254000"/>
          <a:ext cx="4457700" cy="116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Färgerna i cellerna med data och beskrivande statistik, samt i lådorna i lådagrmmet är de som kommer från villkorsstyrd formatering här i Excel. I data är det lägsta värdet 16. Det har fått den starkast röda färgen. Det högsta värdet i data är 100. Villkorsstyrd formatering har gett det den starkast gröna färgen. Alla värden däremellan har en färg mellan dessa båda färger. Kolumnrubriker har samma färg som</a:t>
          </a:r>
          <a:r>
            <a:rPr lang="sv-SE" sz="1100" baseline="0"/>
            <a:t> medelvärdena.</a:t>
          </a:r>
          <a:endParaRPr lang="sv-SE" sz="1100"/>
        </a:p>
      </xdr:txBody>
    </xdr:sp>
    <xdr:clientData/>
  </xdr:twoCellAnchor>
  <xdr:twoCellAnchor>
    <xdr:from>
      <xdr:col>17</xdr:col>
      <xdr:colOff>609600</xdr:colOff>
      <xdr:row>49</xdr:row>
      <xdr:rowOff>114300</xdr:rowOff>
    </xdr:from>
    <xdr:to>
      <xdr:col>20</xdr:col>
      <xdr:colOff>114300</xdr:colOff>
      <xdr:row>55</xdr:row>
      <xdr:rowOff>25400</xdr:rowOff>
    </xdr:to>
    <xdr:sp macro="" textlink="">
      <xdr:nvSpPr>
        <xdr:cNvPr id="14" name="textruta 13">
          <a:extLst>
            <a:ext uri="{FF2B5EF4-FFF2-40B4-BE49-F238E27FC236}">
              <a16:creationId xmlns:a16="http://schemas.microsoft.com/office/drawing/2014/main" id="{E0F91C56-A9D7-224D-8CB1-53037573EA94}"/>
            </a:ext>
          </a:extLst>
        </xdr:cNvPr>
        <xdr:cNvSpPr txBox="1"/>
      </xdr:nvSpPr>
      <xdr:spPr>
        <a:xfrm>
          <a:off x="8229600" y="10134600"/>
          <a:ext cx="2298700" cy="113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Se Cochran.xls, för metod och för kritiska värden för C. Filen kan hämtas från webbsidan Tabeller i undervisningsmaterialet. Dubbelklicka på värdet för C för att se hur det har beräknats.</a:t>
          </a:r>
        </a:p>
        <a:p>
          <a:endParaRPr lang="sv-SE" sz="1100"/>
        </a:p>
        <a:p>
          <a:endParaRPr lang="sv-SE" sz="1100"/>
        </a:p>
      </xdr:txBody>
    </xdr:sp>
    <xdr:clientData/>
  </xdr:twoCellAnchor>
  <xdr:twoCellAnchor>
    <xdr:from>
      <xdr:col>17</xdr:col>
      <xdr:colOff>241300</xdr:colOff>
      <xdr:row>42</xdr:row>
      <xdr:rowOff>63500</xdr:rowOff>
    </xdr:from>
    <xdr:to>
      <xdr:col>21</xdr:col>
      <xdr:colOff>381000</xdr:colOff>
      <xdr:row>47</xdr:row>
      <xdr:rowOff>177800</xdr:rowOff>
    </xdr:to>
    <xdr:sp macro="" textlink="">
      <xdr:nvSpPr>
        <xdr:cNvPr id="13" name="textruta 12">
          <a:extLst>
            <a:ext uri="{FF2B5EF4-FFF2-40B4-BE49-F238E27FC236}">
              <a16:creationId xmlns:a16="http://schemas.microsoft.com/office/drawing/2014/main" id="{8422FEAE-D0EC-A843-800E-198446698E2C}"/>
            </a:ext>
          </a:extLst>
        </xdr:cNvPr>
        <xdr:cNvSpPr txBox="1"/>
      </xdr:nvSpPr>
      <xdr:spPr>
        <a:xfrm>
          <a:off x="7861300" y="8661400"/>
          <a:ext cx="3581400" cy="113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6 sample points.</a:t>
          </a:r>
        </a:p>
      </xdr:txBody>
    </xdr:sp>
    <xdr:clientData/>
  </xdr:twoCellAnchor>
  <xdr:twoCellAnchor>
    <xdr:from>
      <xdr:col>16</xdr:col>
      <xdr:colOff>25400</xdr:colOff>
      <xdr:row>88</xdr:row>
      <xdr:rowOff>0</xdr:rowOff>
    </xdr:from>
    <xdr:to>
      <xdr:col>17</xdr:col>
      <xdr:colOff>723900</xdr:colOff>
      <xdr:row>91</xdr:row>
      <xdr:rowOff>101600</xdr:rowOff>
    </xdr:to>
    <xdr:sp macro="" textlink="">
      <xdr:nvSpPr>
        <xdr:cNvPr id="15" name="textruta 14">
          <a:extLst>
            <a:ext uri="{FF2B5EF4-FFF2-40B4-BE49-F238E27FC236}">
              <a16:creationId xmlns:a16="http://schemas.microsoft.com/office/drawing/2014/main" id="{90BBFB54-2972-4940-B6DF-53E98DDD2FB9}"/>
            </a:ext>
          </a:extLst>
        </xdr:cNvPr>
        <xdr:cNvSpPr txBox="1"/>
      </xdr:nvSpPr>
      <xdr:spPr>
        <a:xfrm>
          <a:off x="7213600" y="18669000"/>
          <a:ext cx="1130300" cy="71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Detta motsvarar tabell 9.6 på sidan 267.</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0</xdr:row>
      <xdr:rowOff>76200</xdr:rowOff>
    </xdr:from>
    <xdr:to>
      <xdr:col>7</xdr:col>
      <xdr:colOff>88900</xdr:colOff>
      <xdr:row>5</xdr:row>
      <xdr:rowOff>114300</xdr:rowOff>
    </xdr:to>
    <xdr:sp macro="" textlink="">
      <xdr:nvSpPr>
        <xdr:cNvPr id="4" name="textruta 3">
          <a:extLst>
            <a:ext uri="{FF2B5EF4-FFF2-40B4-BE49-F238E27FC236}">
              <a16:creationId xmlns:a16="http://schemas.microsoft.com/office/drawing/2014/main" id="{00000000-0008-0000-0100-000004000000}"/>
            </a:ext>
          </a:extLst>
        </xdr:cNvPr>
        <xdr:cNvSpPr txBox="1"/>
      </xdr:nvSpPr>
      <xdr:spPr>
        <a:xfrm>
          <a:off x="406400" y="76200"/>
          <a:ext cx="5740400" cy="86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a:t>Den nestade variansanalysen (tabell 9.4) beräknad med  </a:t>
          </a:r>
          <a:r>
            <a:rPr lang="sv-SE" sz="1200" i="1"/>
            <a:t>Dataanalys</a:t>
          </a:r>
          <a:r>
            <a:rPr lang="sv-SE" sz="1200"/>
            <a:t> -&gt; </a:t>
          </a:r>
          <a:r>
            <a:rPr lang="sv-SE" sz="1200" i="1"/>
            <a:t>Anova: Två faktorer med repreducering</a:t>
          </a:r>
          <a:r>
            <a:rPr lang="sv-SE" sz="1200"/>
            <a:t>. På kurswebbsidan för avsnitt 6 kan du ladda</a:t>
          </a:r>
          <a:r>
            <a:rPr lang="sv-SE" sz="1200" baseline="0"/>
            <a:t> ned </a:t>
          </a:r>
          <a:r>
            <a:rPr lang="sv-SE" sz="1200"/>
            <a:t> </a:t>
          </a:r>
          <a:r>
            <a:rPr lang="sv-SE" sz="1200" i="1"/>
            <a:t>Nestad variansanalys detaljer.xls</a:t>
          </a:r>
          <a:r>
            <a:rPr lang="sv-SE" sz="1200"/>
            <a:t>. Längst ner i det </a:t>
          </a:r>
          <a:r>
            <a:rPr lang="sv-SE" sz="1200" i="1"/>
            <a:t>Excel</a:t>
          </a:r>
          <a:r>
            <a:rPr lang="sv-SE" sz="1200"/>
            <a:t>-arket finns metoden beskriven och förklarad.</a:t>
          </a:r>
        </a:p>
      </xdr:txBody>
    </xdr:sp>
    <xdr:clientData/>
  </xdr:twoCellAnchor>
  <xdr:twoCellAnchor editAs="oneCell">
    <xdr:from>
      <xdr:col>0</xdr:col>
      <xdr:colOff>139700</xdr:colOff>
      <xdr:row>27</xdr:row>
      <xdr:rowOff>114300</xdr:rowOff>
    </xdr:from>
    <xdr:to>
      <xdr:col>7</xdr:col>
      <xdr:colOff>457200</xdr:colOff>
      <xdr:row>47</xdr:row>
      <xdr:rowOff>101600</xdr:rowOff>
    </xdr:to>
    <xdr:pic>
      <xdr:nvPicPr>
        <xdr:cNvPr id="5" name="Bildobjekt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139700" y="4572000"/>
          <a:ext cx="6527800" cy="3289300"/>
        </a:xfrm>
        <a:prstGeom prst="rect">
          <a:avLst/>
        </a:prstGeom>
      </xdr:spPr>
    </xdr:pic>
    <xdr:clientData/>
  </xdr:twoCellAnchor>
  <xdr:twoCellAnchor>
    <xdr:from>
      <xdr:col>0</xdr:col>
      <xdr:colOff>342900</xdr:colOff>
      <xdr:row>105</xdr:row>
      <xdr:rowOff>88900</xdr:rowOff>
    </xdr:from>
    <xdr:to>
      <xdr:col>5</xdr:col>
      <xdr:colOff>368300</xdr:colOff>
      <xdr:row>123</xdr:row>
      <xdr:rowOff>25400</xdr:rowOff>
    </xdr:to>
    <xdr:graphicFrame macro="">
      <xdr:nvGraphicFramePr>
        <xdr:cNvPr id="2" name="Chart -1023">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317500</xdr:colOff>
      <xdr:row>121</xdr:row>
      <xdr:rowOff>25400</xdr:rowOff>
    </xdr:from>
    <xdr:to>
      <xdr:col>5</xdr:col>
      <xdr:colOff>304800</xdr:colOff>
      <xdr:row>121</xdr:row>
      <xdr:rowOff>50800</xdr:rowOff>
    </xdr:to>
    <xdr:sp macro="" textlink="">
      <xdr:nvSpPr>
        <xdr:cNvPr id="2049" name="AutoShape 1">
          <a:extLst>
            <a:ext uri="{FF2B5EF4-FFF2-40B4-BE49-F238E27FC236}">
              <a16:creationId xmlns:a16="http://schemas.microsoft.com/office/drawing/2014/main" id="{0996DC68-1EC1-8A4E-B437-0783D67FE842}"/>
            </a:ext>
          </a:extLst>
        </xdr:cNvPr>
        <xdr:cNvSpPr>
          <a:spLocks noChangeAspect="1" noChangeArrowheads="1"/>
        </xdr:cNvSpPr>
      </xdr:nvSpPr>
      <xdr:spPr bwMode="auto">
        <a:xfrm>
          <a:off x="685800" y="21501100"/>
          <a:ext cx="4178300" cy="254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8</xdr:col>
      <xdr:colOff>355600</xdr:colOff>
      <xdr:row>78</xdr:row>
      <xdr:rowOff>0</xdr:rowOff>
    </xdr:from>
    <xdr:to>
      <xdr:col>14</xdr:col>
      <xdr:colOff>736600</xdr:colOff>
      <xdr:row>145</xdr:row>
      <xdr:rowOff>25400</xdr:rowOff>
    </xdr:to>
    <xdr:sp macro="" textlink="">
      <xdr:nvSpPr>
        <xdr:cNvPr id="3" name="textruta 2">
          <a:extLst>
            <a:ext uri="{FF2B5EF4-FFF2-40B4-BE49-F238E27FC236}">
              <a16:creationId xmlns:a16="http://schemas.microsoft.com/office/drawing/2014/main" id="{F2B0048B-44FE-464E-A649-C75A020881C6}"/>
            </a:ext>
          </a:extLst>
        </xdr:cNvPr>
        <xdr:cNvSpPr txBox="1"/>
      </xdr:nvSpPr>
      <xdr:spPr>
        <a:xfrm>
          <a:off x="7391400" y="13957300"/>
          <a:ext cx="5334000" cy="11506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Istället för att använda Excel kan man använda </a:t>
          </a:r>
          <a:r>
            <a:rPr lang="sv-SE" sz="1100" b="1"/>
            <a:t>programspråket R</a:t>
          </a:r>
          <a:r>
            <a:rPr lang="sv-SE" sz="1100"/>
            <a:t> för att göra analyserna. Här följer exempel på kod och resultat.</a:t>
          </a:r>
        </a:p>
        <a:p>
          <a:endParaRPr lang="sv-SE" sz="1100"/>
        </a:p>
        <a:p>
          <a:r>
            <a:rPr lang="sv-SE" sz="1100"/>
            <a:t>GAD-package {GAD}</a:t>
          </a:r>
        </a:p>
        <a:p>
          <a:endParaRPr lang="sv-SE" sz="1100"/>
        </a:p>
        <a:p>
          <a:r>
            <a:rPr lang="sv-SE" sz="1000">
              <a:solidFill>
                <a:srgbClr val="0233FF"/>
              </a:solidFill>
              <a:latin typeface="Monaco" pitchFamily="2" charset="77"/>
            </a:rPr>
            <a:t>TR &lt;- as.fixed(Unexsid243$Treatment)</a:t>
          </a:r>
        </a:p>
        <a:p>
          <a:r>
            <a:rPr lang="sv-SE" sz="1000">
              <a:solidFill>
                <a:srgbClr val="0233FF"/>
              </a:solidFill>
              <a:latin typeface="Monaco" pitchFamily="2" charset="77"/>
            </a:rPr>
            <a:t>PL &lt;- as.random(Unexsid243$Plot) </a:t>
          </a:r>
        </a:p>
        <a:p>
          <a:r>
            <a:rPr lang="sv-SE" sz="1000">
              <a:solidFill>
                <a:srgbClr val="0233FF"/>
              </a:solidFill>
              <a:latin typeface="Monaco" pitchFamily="2" charset="77"/>
            </a:rPr>
            <a:t>model243 &lt;- lm(Fertility ~ TR + PL%in%TR, data = Unexsid243)</a:t>
          </a:r>
        </a:p>
        <a:p>
          <a:r>
            <a:rPr lang="sv-SE" sz="1000">
              <a:solidFill>
                <a:srgbClr val="0233FF"/>
              </a:solidFill>
              <a:latin typeface="Monaco" pitchFamily="2" charset="77"/>
            </a:rPr>
            <a:t>C.test(model243)</a:t>
          </a:r>
        </a:p>
        <a:p>
          <a:endParaRPr lang="sv-SE" sz="1000">
            <a:solidFill>
              <a:schemeClr val="tx1"/>
            </a:solidFill>
            <a:latin typeface="Monaco" pitchFamily="2" charset="77"/>
          </a:endParaRPr>
        </a:p>
        <a:p>
          <a:r>
            <a:rPr lang="sv-SE" sz="1000">
              <a:solidFill>
                <a:schemeClr val="tx1"/>
              </a:solidFill>
              <a:latin typeface="Monaco" pitchFamily="2" charset="77"/>
            </a:rPr>
            <a:t>	Cochran test of homogeneity of variances</a:t>
          </a:r>
        </a:p>
        <a:p>
          <a:endParaRPr lang="sv-SE" sz="1000">
            <a:solidFill>
              <a:schemeClr val="tx1"/>
            </a:solidFill>
            <a:latin typeface="Monaco" pitchFamily="2" charset="77"/>
          </a:endParaRPr>
        </a:p>
        <a:p>
          <a:r>
            <a:rPr lang="sv-SE" sz="1000">
              <a:solidFill>
                <a:schemeClr val="tx1"/>
              </a:solidFill>
              <a:latin typeface="Monaco" pitchFamily="2" charset="77"/>
            </a:rPr>
            <a:t>data:  model243</a:t>
          </a:r>
        </a:p>
        <a:p>
          <a:r>
            <a:rPr lang="sv-SE" sz="1000">
              <a:solidFill>
                <a:schemeClr val="tx1"/>
              </a:solidFill>
              <a:latin typeface="Monaco" pitchFamily="2" charset="77"/>
            </a:rPr>
            <a:t>C = 0.16498, n = 6, k = 15, p-value = 0.3672</a:t>
          </a:r>
        </a:p>
        <a:p>
          <a:r>
            <a:rPr lang="sv-SE" sz="1000">
              <a:solidFill>
                <a:schemeClr val="tx1"/>
              </a:solidFill>
              <a:latin typeface="Monaco" pitchFamily="2" charset="77"/>
            </a:rPr>
            <a:t>alternative hypothesis: Group Ca.Pl3 has outlying variance</a:t>
          </a:r>
        </a:p>
        <a:p>
          <a:r>
            <a:rPr lang="sv-SE" sz="1000">
              <a:solidFill>
                <a:schemeClr val="tx1"/>
              </a:solidFill>
              <a:latin typeface="Monaco" pitchFamily="2" charset="77"/>
            </a:rPr>
            <a:t>sample estimates:</a:t>
          </a:r>
        </a:p>
        <a:p>
          <a:r>
            <a:rPr lang="sv-SE" sz="1000">
              <a:solidFill>
                <a:schemeClr val="tx1"/>
              </a:solidFill>
              <a:latin typeface="Monaco" pitchFamily="2" charset="77"/>
            </a:rPr>
            <a:t>  Co.Pl1   Co.Pl2   Co.Pl3   Co.Pl4   Co.Pl5  Cao.Pl1  Cao.Pl2  Cao.Pl3  Cao.Pl4  Cao.Pl5 </a:t>
          </a:r>
        </a:p>
        <a:p>
          <a:r>
            <a:rPr lang="sv-SE" sz="1000">
              <a:solidFill>
                <a:schemeClr val="tx1"/>
              </a:solidFill>
              <a:latin typeface="Monaco" pitchFamily="2" charset="77"/>
            </a:rPr>
            <a:t>107.8667  45.3667 263.5000  71.1000 309.0667 181.3667 188.2667  98.2667  90.1667  76.3000 </a:t>
          </a:r>
        </a:p>
        <a:p>
          <a:r>
            <a:rPr lang="sv-SE" sz="1000">
              <a:solidFill>
                <a:schemeClr val="tx1"/>
              </a:solidFill>
              <a:latin typeface="Monaco" pitchFamily="2" charset="77"/>
            </a:rPr>
            <a:t>  Ca.Pl1   Ca.Pl2   Ca.Pl3   Ca.Pl4   Ca.Pl5 </a:t>
          </a:r>
        </a:p>
        <a:p>
          <a:r>
            <a:rPr lang="sv-SE" sz="1000">
              <a:solidFill>
                <a:schemeClr val="tx1"/>
              </a:solidFill>
              <a:latin typeface="Monaco" pitchFamily="2" charset="77"/>
            </a:rPr>
            <a:t> 32.9667 129.3667 394.3000 217.4667 184.6667 </a:t>
          </a:r>
        </a:p>
        <a:p>
          <a:r>
            <a:rPr lang="sv-SE" sz="1000">
              <a:solidFill>
                <a:schemeClr val="tx1"/>
              </a:solidFill>
              <a:latin typeface="Monaco" pitchFamily="2" charset="77"/>
            </a:rPr>
            <a:t>+++++++++++++++++++++++++++++++++++++++++++++++++++++++</a:t>
          </a:r>
        </a:p>
        <a:p>
          <a:endParaRPr lang="sv-SE" sz="1000">
            <a:solidFill>
              <a:schemeClr val="tx1"/>
            </a:solidFill>
            <a:latin typeface="Monaco" pitchFamily="2" charset="77"/>
          </a:endParaRPr>
        </a:p>
        <a:p>
          <a:r>
            <a:rPr lang="sv-SE" sz="1000">
              <a:solidFill>
                <a:srgbClr val="0233FF"/>
              </a:solidFill>
              <a:latin typeface="Monaco" pitchFamily="2" charset="77"/>
            </a:rPr>
            <a:t>gad(model243)</a:t>
          </a:r>
        </a:p>
        <a:p>
          <a:endParaRPr lang="sv-SE" sz="1000">
            <a:latin typeface="Monaco" pitchFamily="2" charset="77"/>
          </a:endParaRPr>
        </a:p>
        <a:p>
          <a:r>
            <a:rPr lang="sv-SE" sz="1000">
              <a:latin typeface="Monaco" pitchFamily="2" charset="77"/>
            </a:rPr>
            <a:t>Analysis of Variance Table</a:t>
          </a:r>
        </a:p>
        <a:p>
          <a:r>
            <a:rPr lang="sv-SE" sz="1000">
              <a:latin typeface="Monaco" pitchFamily="2" charset="77"/>
            </a:rPr>
            <a:t>Response: Fertility</a:t>
          </a:r>
        </a:p>
        <a:p>
          <a:r>
            <a:rPr lang="sv-SE" sz="1000">
              <a:latin typeface="Monaco" pitchFamily="2" charset="77"/>
            </a:rPr>
            <a:t>         Df  Sum Sq Mean Sq F value   Pr(&gt;F)   </a:t>
          </a:r>
        </a:p>
        <a:p>
          <a:r>
            <a:rPr lang="sv-SE" sz="1000">
              <a:latin typeface="Monaco" pitchFamily="2" charset="77"/>
            </a:rPr>
            <a:t>TR        2  7389.9  3694.9  8.2103 0.005666 **</a:t>
          </a:r>
        </a:p>
        <a:p>
          <a:r>
            <a:rPr lang="sv-SE" sz="1000">
              <a:latin typeface="Monaco" pitchFamily="2" charset="77"/>
            </a:rPr>
            <a:t>TR:PL    12  5400.5   450.0  2.8245 0.003049 **</a:t>
          </a:r>
        </a:p>
        <a:p>
          <a:r>
            <a:rPr lang="sv-SE" sz="1000">
              <a:latin typeface="Monaco" pitchFamily="2" charset="77"/>
            </a:rPr>
            <a:t>Residual 75 11950.2   159.3</a:t>
          </a:r>
        </a:p>
        <a:p>
          <a:r>
            <a:rPr lang="sv-SE" sz="1000">
              <a:latin typeface="Monaco" pitchFamily="2" charset="77"/>
            </a:rPr>
            <a:t>+++++++++++++++++++++++++++++++++++++++++++++++++++++++</a:t>
          </a:r>
        </a:p>
        <a:p>
          <a:r>
            <a:rPr lang="sv-SE" sz="1000">
              <a:solidFill>
                <a:srgbClr val="0233FF"/>
              </a:solidFill>
              <a:latin typeface="Monaco" pitchFamily="2" charset="77"/>
            </a:rPr>
            <a:t>estimates(model243)</a:t>
          </a:r>
        </a:p>
        <a:p>
          <a:r>
            <a:rPr lang="sv-SE" sz="1000">
              <a:latin typeface="Monaco" pitchFamily="2" charset="77"/>
            </a:rPr>
            <a:t>$tm</a:t>
          </a:r>
        </a:p>
        <a:p>
          <a:r>
            <a:rPr lang="sv-SE" sz="1000">
              <a:latin typeface="Monaco" pitchFamily="2" charset="77"/>
            </a:rPr>
            <a:t>      TR PL n</a:t>
          </a:r>
        </a:p>
        <a:p>
          <a:r>
            <a:rPr lang="sv-SE" sz="1000">
              <a:latin typeface="Monaco" pitchFamily="2" charset="77"/>
            </a:rPr>
            <a:t>TR     0  5 6</a:t>
          </a:r>
        </a:p>
        <a:p>
          <a:r>
            <a:rPr lang="sv-SE" sz="1000">
              <a:latin typeface="Monaco" pitchFamily="2" charset="77"/>
            </a:rPr>
            <a:t>TR:PL  1  1 6</a:t>
          </a:r>
        </a:p>
        <a:p>
          <a:r>
            <a:rPr lang="sv-SE" sz="1000">
              <a:latin typeface="Monaco" pitchFamily="2" charset="77"/>
            </a:rPr>
            <a:t>Res    1  1 1</a:t>
          </a:r>
        </a:p>
        <a:p>
          <a:endParaRPr lang="sv-SE" sz="1000">
            <a:latin typeface="Monaco" pitchFamily="2" charset="77"/>
          </a:endParaRPr>
        </a:p>
        <a:p>
          <a:r>
            <a:rPr lang="sv-SE" sz="1000">
              <a:latin typeface="Monaco" pitchFamily="2" charset="77"/>
            </a:rPr>
            <a:t>$mse</a:t>
          </a:r>
        </a:p>
        <a:p>
          <a:r>
            <a:rPr lang="sv-SE" sz="1000">
              <a:latin typeface="Monaco" pitchFamily="2" charset="77"/>
            </a:rPr>
            <a:t>         Mean square estimates</a:t>
          </a:r>
        </a:p>
        <a:p>
          <a:r>
            <a:rPr lang="sv-SE" sz="1000">
              <a:latin typeface="Monaco" pitchFamily="2" charset="77"/>
            </a:rPr>
            <a:t>TR       "Res + TR:PL + TR"   </a:t>
          </a:r>
        </a:p>
        <a:p>
          <a:r>
            <a:rPr lang="sv-SE" sz="1000">
              <a:latin typeface="Monaco" pitchFamily="2" charset="77"/>
            </a:rPr>
            <a:t>TR:PL    "Res + TR:PL"        </a:t>
          </a:r>
        </a:p>
        <a:p>
          <a:r>
            <a:rPr lang="sv-SE" sz="1000">
              <a:latin typeface="Monaco" pitchFamily="2" charset="77"/>
            </a:rPr>
            <a:t>Residual "Res"                </a:t>
          </a:r>
        </a:p>
        <a:p>
          <a:endParaRPr lang="sv-SE" sz="1000">
            <a:latin typeface="Monaco" pitchFamily="2" charset="77"/>
          </a:endParaRPr>
        </a:p>
        <a:p>
          <a:r>
            <a:rPr lang="sv-SE" sz="1000">
              <a:latin typeface="Monaco" pitchFamily="2" charset="77"/>
            </a:rPr>
            <a:t>$f.versus</a:t>
          </a:r>
        </a:p>
        <a:p>
          <a:r>
            <a:rPr lang="sv-SE" sz="1000">
              <a:latin typeface="Monaco" pitchFamily="2" charset="77"/>
            </a:rPr>
            <a:t>      F-ratio versus</a:t>
          </a:r>
        </a:p>
        <a:p>
          <a:r>
            <a:rPr lang="sv-SE" sz="1000">
              <a:latin typeface="Monaco" pitchFamily="2" charset="77"/>
            </a:rPr>
            <a:t>TR    "TR:PL"       </a:t>
          </a:r>
        </a:p>
        <a:p>
          <a:r>
            <a:rPr lang="sv-SE" sz="1000">
              <a:latin typeface="Monaco" pitchFamily="2" charset="77"/>
            </a:rPr>
            <a:t>TR:PL "Residual"                     </a:t>
          </a:r>
        </a:p>
        <a:p>
          <a:r>
            <a:rPr lang="sv-SE" sz="1000">
              <a:latin typeface="Monaco" pitchFamily="2" charset="77"/>
            </a:rPr>
            <a:t>++++++++++++++++++++++++++++++++++++++++</a:t>
          </a:r>
        </a:p>
        <a:p>
          <a:r>
            <a:rPr lang="sv-SE" sz="1000">
              <a:solidFill>
                <a:srgbClr val="0233FF"/>
              </a:solidFill>
              <a:latin typeface="Monaco" pitchFamily="2" charset="77"/>
            </a:rPr>
            <a:t>snk.test(model243, term = 'TR')</a:t>
          </a:r>
        </a:p>
        <a:p>
          <a:endParaRPr lang="sv-SE" sz="1000">
            <a:latin typeface="Monaco" pitchFamily="2" charset="77"/>
          </a:endParaRPr>
        </a:p>
        <a:p>
          <a:r>
            <a:rPr lang="sv-SE" sz="1000">
              <a:latin typeface="Monaco" pitchFamily="2" charset="77"/>
            </a:rPr>
            <a:t>Student-Newman-Keuls test for: TR </a:t>
          </a:r>
        </a:p>
        <a:p>
          <a:endParaRPr lang="sv-SE" sz="1000">
            <a:latin typeface="Monaco" pitchFamily="2" charset="77"/>
          </a:endParaRPr>
        </a:p>
        <a:p>
          <a:r>
            <a:rPr lang="sv-SE" sz="1000">
              <a:latin typeface="Monaco" pitchFamily="2" charset="77"/>
            </a:rPr>
            <a:t>Standard error = 3.8732</a:t>
          </a:r>
        </a:p>
        <a:p>
          <a:r>
            <a:rPr lang="sv-SE" sz="1000">
              <a:latin typeface="Monaco" pitchFamily="2" charset="77"/>
            </a:rPr>
            <a:t>Df = 12 </a:t>
          </a:r>
        </a:p>
        <a:p>
          <a:r>
            <a:rPr lang="sv-SE" sz="1000">
              <a:latin typeface="Monaco" pitchFamily="2" charset="77"/>
            </a:rPr>
            <a:t>              Ca      Cao    Co     </a:t>
          </a:r>
        </a:p>
        <a:p>
          <a:r>
            <a:rPr lang="sv-SE" sz="1000">
              <a:latin typeface="Monaco" pitchFamily="2" charset="77"/>
            </a:rPr>
            <a:t>Rank order:   1       2      3      </a:t>
          </a:r>
        </a:p>
        <a:p>
          <a:r>
            <a:rPr lang="sv-SE" sz="1000">
              <a:latin typeface="Monaco" pitchFamily="2" charset="77"/>
            </a:rPr>
            <a:t>Ranked means: 60.0333 78.7   79.7667</a:t>
          </a:r>
        </a:p>
        <a:p>
          <a:r>
            <a:rPr lang="sv-SE" sz="1000">
              <a:latin typeface="Monaco" pitchFamily="2" charset="77"/>
            </a:rPr>
            <a:t>Comparisons:                        </a:t>
          </a:r>
        </a:p>
        <a:p>
          <a:r>
            <a:rPr lang="sv-SE" sz="1000">
              <a:latin typeface="Monaco" pitchFamily="2" charset="77"/>
            </a:rPr>
            <a:t>1             3-1 **                </a:t>
          </a:r>
        </a:p>
        <a:p>
          <a:r>
            <a:rPr lang="sv-SE" sz="1000">
              <a:latin typeface="Monaco" pitchFamily="2" charset="77"/>
            </a:rPr>
            <a:t>2             2-1 **  3-2 ns        </a:t>
          </a:r>
        </a:p>
        <a:p>
          <a:r>
            <a:rPr lang="sv-SE" sz="1000">
              <a:latin typeface="Monaco" pitchFamily="2" charset="77"/>
            </a:rPr>
            <a:t>---</a:t>
          </a:r>
        </a:p>
        <a:p>
          <a:r>
            <a:rPr lang="sv-SE" sz="1000">
              <a:latin typeface="Monaco" pitchFamily="2" charset="77"/>
            </a:rPr>
            <a:t>Signif. codes: &lt;0.001 '***' &lt;0.01 '**' &lt;0.05 '*' &gt;0.05 'ns'</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0D561-77A0-B64D-B727-FBCB68B389B2}">
  <dimension ref="A1:B24"/>
  <sheetViews>
    <sheetView tabSelected="1" workbookViewId="0">
      <selection activeCell="A8" sqref="A8"/>
    </sheetView>
  </sheetViews>
  <sheetFormatPr baseColWidth="10" defaultRowHeight="16"/>
  <sheetData>
    <row r="1" spans="1:1" ht="24">
      <c r="A1" s="143" t="s">
        <v>127</v>
      </c>
    </row>
    <row r="2" spans="1:1" ht="19">
      <c r="A2" s="137" t="s">
        <v>116</v>
      </c>
    </row>
    <row r="3" spans="1:1" ht="19">
      <c r="A3" s="138" t="s">
        <v>117</v>
      </c>
    </row>
    <row r="23" spans="2:2" ht="19">
      <c r="B23" s="139" t="s">
        <v>118</v>
      </c>
    </row>
    <row r="24" spans="2:2" ht="19">
      <c r="B24" s="139" t="s">
        <v>119</v>
      </c>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Z112"/>
  <sheetViews>
    <sheetView zoomScaleNormal="100" workbookViewId="0">
      <selection activeCell="A2" sqref="A2"/>
    </sheetView>
  </sheetViews>
  <sheetFormatPr baseColWidth="10" defaultRowHeight="16"/>
  <cols>
    <col min="2" max="2" width="8.1640625" customWidth="1"/>
    <col min="3" max="3" width="5.6640625" bestFit="1" customWidth="1"/>
    <col min="4" max="4" width="5.6640625" customWidth="1"/>
    <col min="5" max="5" width="5.6640625" bestFit="1" customWidth="1"/>
    <col min="6" max="6" width="4.6640625" bestFit="1" customWidth="1"/>
    <col min="7" max="9" width="5.6640625" bestFit="1" customWidth="1"/>
    <col min="10" max="10" width="4.6640625" customWidth="1"/>
    <col min="11" max="11" width="5.6640625" bestFit="1" customWidth="1"/>
    <col min="12" max="13" width="4.6640625" bestFit="1" customWidth="1"/>
    <col min="14" max="16" width="5.6640625" bestFit="1" customWidth="1"/>
    <col min="17" max="17" width="5.6640625" customWidth="1"/>
    <col min="19" max="19" width="18.6640625" bestFit="1" customWidth="1"/>
    <col min="20" max="20" width="7.1640625" customWidth="1"/>
    <col min="21" max="21" width="8.5" customWidth="1"/>
    <col min="22" max="22" width="6.83203125" customWidth="1"/>
    <col min="23" max="25" width="6.1640625" customWidth="1"/>
    <col min="26" max="26" width="10" customWidth="1"/>
    <col min="27" max="27" width="8.5" customWidth="1"/>
    <col min="28" max="29" width="6.6640625" bestFit="1" customWidth="1"/>
    <col min="30" max="31" width="8.5" customWidth="1"/>
    <col min="32" max="32" width="6.33203125" customWidth="1"/>
    <col min="33" max="33" width="8.1640625" customWidth="1"/>
    <col min="34" max="34" width="6.1640625" customWidth="1"/>
    <col min="35" max="35" width="8" customWidth="1"/>
  </cols>
  <sheetData>
    <row r="1" spans="2:52">
      <c r="B1" s="7" t="s">
        <v>120</v>
      </c>
    </row>
    <row r="2" spans="2:52">
      <c r="B2" s="7"/>
      <c r="S2" s="9"/>
    </row>
    <row r="3" spans="2:52">
      <c r="B3" s="7"/>
      <c r="S3" s="9"/>
    </row>
    <row r="4" spans="2:52">
      <c r="B4" s="7"/>
      <c r="S4" s="9"/>
    </row>
    <row r="5" spans="2:52">
      <c r="B5" s="7"/>
      <c r="S5" s="9"/>
    </row>
    <row r="6" spans="2:52">
      <c r="B6" s="7"/>
      <c r="S6" s="9"/>
    </row>
    <row r="7" spans="2:52">
      <c r="B7" s="7"/>
      <c r="S7" s="9"/>
    </row>
    <row r="8" spans="2:52">
      <c r="B8" s="7"/>
      <c r="S8" s="9"/>
    </row>
    <row r="9" spans="2:52" ht="24" thickBot="1">
      <c r="C9" s="1"/>
      <c r="D9" s="1"/>
      <c r="E9" s="1"/>
      <c r="F9" s="1"/>
      <c r="G9" s="1"/>
      <c r="H9" s="1"/>
      <c r="I9" s="1"/>
      <c r="J9" s="1"/>
      <c r="K9" s="1"/>
      <c r="L9" s="1"/>
      <c r="M9" s="1"/>
      <c r="N9" s="1"/>
      <c r="O9" s="1"/>
      <c r="P9" s="1"/>
      <c r="Q9" s="1"/>
      <c r="S9" s="9" t="s">
        <v>40</v>
      </c>
      <c r="AK9" s="160" t="s">
        <v>128</v>
      </c>
    </row>
    <row r="10" spans="2:52" ht="17" thickTop="1">
      <c r="C10" s="5"/>
      <c r="D10" s="5"/>
      <c r="E10" s="5"/>
      <c r="F10" s="5"/>
      <c r="G10" s="5"/>
      <c r="H10" s="5"/>
      <c r="I10" s="5"/>
      <c r="J10" s="5" t="s">
        <v>7</v>
      </c>
      <c r="K10" s="5"/>
      <c r="L10" s="5"/>
      <c r="M10" s="5"/>
      <c r="N10" s="5"/>
      <c r="O10" s="5"/>
      <c r="P10" s="5"/>
      <c r="Q10" s="5"/>
      <c r="S10" s="13"/>
      <c r="T10" s="115" t="s">
        <v>24</v>
      </c>
      <c r="U10" s="115" t="s">
        <v>25</v>
      </c>
      <c r="V10" s="115" t="s">
        <v>26</v>
      </c>
      <c r="W10" s="115" t="s">
        <v>27</v>
      </c>
      <c r="X10" s="118" t="s">
        <v>28</v>
      </c>
      <c r="Y10" s="116" t="s">
        <v>29</v>
      </c>
      <c r="Z10" s="116" t="s">
        <v>30</v>
      </c>
      <c r="AA10" s="116" t="s">
        <v>31</v>
      </c>
      <c r="AB10" s="116" t="s">
        <v>32</v>
      </c>
      <c r="AC10" s="119" t="s">
        <v>33</v>
      </c>
      <c r="AD10" s="114" t="s">
        <v>34</v>
      </c>
      <c r="AE10" s="114" t="s">
        <v>35</v>
      </c>
      <c r="AF10" s="114" t="s">
        <v>36</v>
      </c>
      <c r="AG10" s="114" t="s">
        <v>37</v>
      </c>
      <c r="AH10" s="114" t="s">
        <v>38</v>
      </c>
      <c r="AK10" s="161"/>
      <c r="AL10" s="161" t="s">
        <v>129</v>
      </c>
      <c r="AM10" s="161" t="s">
        <v>130</v>
      </c>
      <c r="AN10" s="161" t="s">
        <v>131</v>
      </c>
      <c r="AO10" s="161" t="s">
        <v>132</v>
      </c>
      <c r="AP10" s="161" t="s">
        <v>133</v>
      </c>
      <c r="AQ10" s="161" t="s">
        <v>134</v>
      </c>
      <c r="AR10" s="161" t="s">
        <v>135</v>
      </c>
      <c r="AS10" s="161" t="s">
        <v>136</v>
      </c>
      <c r="AT10" s="161" t="s">
        <v>137</v>
      </c>
      <c r="AU10" s="161" t="s">
        <v>138</v>
      </c>
      <c r="AV10" s="161" t="s">
        <v>139</v>
      </c>
      <c r="AW10" s="161" t="s">
        <v>140</v>
      </c>
      <c r="AX10" s="161" t="s">
        <v>141</v>
      </c>
      <c r="AY10" s="161" t="s">
        <v>142</v>
      </c>
      <c r="AZ10" s="161" t="s">
        <v>143</v>
      </c>
    </row>
    <row r="11" spans="2:52" ht="17">
      <c r="C11" s="168">
        <v>1</v>
      </c>
      <c r="D11" s="168"/>
      <c r="E11" s="168"/>
      <c r="F11" s="168"/>
      <c r="G11" s="169"/>
      <c r="H11" s="170">
        <v>2</v>
      </c>
      <c r="I11" s="171"/>
      <c r="J11" s="171"/>
      <c r="K11" s="171"/>
      <c r="L11" s="172"/>
      <c r="M11" s="170">
        <v>3</v>
      </c>
      <c r="N11" s="171"/>
      <c r="O11" s="171"/>
      <c r="P11" s="171"/>
      <c r="Q11" s="171"/>
      <c r="S11" s="11"/>
      <c r="T11" s="11"/>
      <c r="U11" s="11"/>
      <c r="V11" s="11"/>
      <c r="W11" s="11"/>
      <c r="X11" s="117"/>
      <c r="Y11" s="11"/>
      <c r="Z11" s="11"/>
      <c r="AA11" s="11"/>
      <c r="AB11" s="11"/>
      <c r="AC11" s="120"/>
      <c r="AD11" s="11"/>
      <c r="AE11" s="11"/>
      <c r="AF11" s="11"/>
      <c r="AG11" s="11"/>
      <c r="AH11" s="11"/>
      <c r="AK11" s="162" t="s">
        <v>144</v>
      </c>
      <c r="AL11" s="162" t="s">
        <v>145</v>
      </c>
      <c r="AM11" s="162" t="s">
        <v>146</v>
      </c>
      <c r="AN11" s="162" t="s">
        <v>147</v>
      </c>
      <c r="AO11" s="162" t="s">
        <v>148</v>
      </c>
      <c r="AP11" s="162" t="s">
        <v>149</v>
      </c>
      <c r="AQ11" s="162" t="s">
        <v>150</v>
      </c>
      <c r="AR11" s="162" t="s">
        <v>151</v>
      </c>
      <c r="AS11" s="162" t="s">
        <v>152</v>
      </c>
      <c r="AT11" s="162" t="s">
        <v>147</v>
      </c>
      <c r="AU11" s="162" t="s">
        <v>149</v>
      </c>
      <c r="AV11" s="162" t="s">
        <v>153</v>
      </c>
      <c r="AW11" s="162" t="s">
        <v>154</v>
      </c>
      <c r="AX11" s="162" t="s">
        <v>152</v>
      </c>
      <c r="AY11" s="162" t="s">
        <v>155</v>
      </c>
      <c r="AZ11" s="162" t="s">
        <v>156</v>
      </c>
    </row>
    <row r="12" spans="2:52" ht="17">
      <c r="C12" s="173" t="s">
        <v>6</v>
      </c>
      <c r="D12" s="173"/>
      <c r="E12" s="173"/>
      <c r="F12" s="173"/>
      <c r="G12" s="173"/>
      <c r="H12" s="174" t="s">
        <v>5</v>
      </c>
      <c r="I12" s="175"/>
      <c r="J12" s="175"/>
      <c r="K12" s="175"/>
      <c r="L12" s="176"/>
      <c r="M12" s="177" t="s">
        <v>4</v>
      </c>
      <c r="N12" s="177"/>
      <c r="O12" s="177"/>
      <c r="P12" s="177"/>
      <c r="Q12" s="177"/>
      <c r="S12" s="11" t="s">
        <v>10</v>
      </c>
      <c r="T12" s="145">
        <v>78.333333333333329</v>
      </c>
      <c r="U12" s="145">
        <v>75.166666666666671</v>
      </c>
      <c r="V12" s="11">
        <v>83.5</v>
      </c>
      <c r="W12" s="11">
        <v>91.5</v>
      </c>
      <c r="X12" s="146">
        <v>70.333333333333329</v>
      </c>
      <c r="Y12" s="145">
        <v>76.166666666666671</v>
      </c>
      <c r="Z12" s="145">
        <v>77.333333333333329</v>
      </c>
      <c r="AA12" s="145">
        <v>77.666666666666671</v>
      </c>
      <c r="AB12" s="11">
        <v>87.833333333333329</v>
      </c>
      <c r="AC12" s="120">
        <v>74.5</v>
      </c>
      <c r="AD12" s="145">
        <v>71.166666666666671</v>
      </c>
      <c r="AE12" s="145">
        <v>61.833333333333336</v>
      </c>
      <c r="AF12" s="11">
        <v>68.5</v>
      </c>
      <c r="AG12" s="145">
        <v>56.333333333333336</v>
      </c>
      <c r="AH12" s="145">
        <v>42.333333333333336</v>
      </c>
      <c r="AK12" s="162" t="s">
        <v>157</v>
      </c>
      <c r="AL12" s="162" t="s">
        <v>158</v>
      </c>
      <c r="AM12" s="162" t="s">
        <v>159</v>
      </c>
      <c r="AN12" s="162" t="s">
        <v>148</v>
      </c>
      <c r="AO12" s="162" t="s">
        <v>145</v>
      </c>
      <c r="AP12" s="162" t="s">
        <v>159</v>
      </c>
      <c r="AQ12" s="162" t="s">
        <v>158</v>
      </c>
      <c r="AR12" s="162" t="s">
        <v>152</v>
      </c>
      <c r="AS12" s="162" t="s">
        <v>160</v>
      </c>
      <c r="AT12" s="162" t="s">
        <v>145</v>
      </c>
      <c r="AU12" s="162" t="s">
        <v>159</v>
      </c>
      <c r="AV12" s="162" t="s">
        <v>161</v>
      </c>
      <c r="AW12" s="162" t="s">
        <v>162</v>
      </c>
      <c r="AX12" s="162" t="s">
        <v>163</v>
      </c>
      <c r="AY12" s="162" t="s">
        <v>164</v>
      </c>
      <c r="AZ12" s="162" t="s">
        <v>165</v>
      </c>
    </row>
    <row r="13" spans="2:52" ht="17">
      <c r="C13" s="5">
        <v>1</v>
      </c>
      <c r="D13" s="5">
        <v>2</v>
      </c>
      <c r="E13" s="5">
        <v>3</v>
      </c>
      <c r="F13" s="5">
        <v>4</v>
      </c>
      <c r="G13" s="6">
        <v>5</v>
      </c>
      <c r="H13" s="5">
        <v>1</v>
      </c>
      <c r="I13" s="5">
        <v>2</v>
      </c>
      <c r="J13" s="5">
        <v>3</v>
      </c>
      <c r="K13" s="5">
        <v>4</v>
      </c>
      <c r="L13" s="6">
        <v>5</v>
      </c>
      <c r="M13" s="5">
        <v>1</v>
      </c>
      <c r="N13" s="5">
        <v>2</v>
      </c>
      <c r="O13" s="5">
        <v>3</v>
      </c>
      <c r="P13" s="5">
        <v>4</v>
      </c>
      <c r="Q13" s="5">
        <v>5</v>
      </c>
      <c r="S13" s="11" t="s">
        <v>11</v>
      </c>
      <c r="T13" s="11">
        <v>4.2400209643087692</v>
      </c>
      <c r="U13" s="144">
        <v>2.7497474631520462</v>
      </c>
      <c r="V13" s="144">
        <v>6.6269651173570141</v>
      </c>
      <c r="W13" s="144">
        <v>3.4423828956117015</v>
      </c>
      <c r="X13" s="151">
        <v>7.1771241532462762</v>
      </c>
      <c r="Y13" s="144">
        <v>5.4979794268238091</v>
      </c>
      <c r="Z13" s="144">
        <v>5.6015870766933427</v>
      </c>
      <c r="AA13" s="144">
        <v>4.0469467228736606</v>
      </c>
      <c r="AB13" s="144">
        <v>3.8765677832043361</v>
      </c>
      <c r="AC13" s="151">
        <v>3.5660435592777984</v>
      </c>
      <c r="AD13" s="144">
        <v>2.3440231322332221</v>
      </c>
      <c r="AE13" s="144">
        <v>4.6433943523150258</v>
      </c>
      <c r="AF13" s="144">
        <v>8.1065816881510955</v>
      </c>
      <c r="AG13" s="144">
        <v>6.0203359079410514</v>
      </c>
      <c r="AH13" s="144">
        <v>5.5477723256977489</v>
      </c>
      <c r="AK13" s="162" t="s">
        <v>166</v>
      </c>
      <c r="AL13" s="162" t="s">
        <v>167</v>
      </c>
      <c r="AM13" s="162" t="s">
        <v>168</v>
      </c>
      <c r="AN13" s="162" t="s">
        <v>149</v>
      </c>
      <c r="AO13" s="162" t="s">
        <v>169</v>
      </c>
      <c r="AP13" s="162" t="s">
        <v>170</v>
      </c>
      <c r="AQ13" s="162" t="s">
        <v>171</v>
      </c>
      <c r="AR13" s="162" t="s">
        <v>154</v>
      </c>
      <c r="AS13" s="162" t="s">
        <v>172</v>
      </c>
      <c r="AT13" s="162" t="s">
        <v>152</v>
      </c>
      <c r="AU13" s="162" t="s">
        <v>161</v>
      </c>
      <c r="AV13" s="162" t="s">
        <v>173</v>
      </c>
      <c r="AW13" s="162" t="s">
        <v>174</v>
      </c>
      <c r="AX13" s="162" t="s">
        <v>175</v>
      </c>
      <c r="AY13" s="162" t="s">
        <v>176</v>
      </c>
      <c r="AZ13" s="162" t="s">
        <v>177</v>
      </c>
    </row>
    <row r="14" spans="2:52" ht="17">
      <c r="B14">
        <v>1</v>
      </c>
      <c r="C14">
        <v>82</v>
      </c>
      <c r="D14">
        <v>79</v>
      </c>
      <c r="E14">
        <v>90</v>
      </c>
      <c r="F14">
        <v>75</v>
      </c>
      <c r="G14" s="4">
        <v>38</v>
      </c>
      <c r="H14">
        <v>92</v>
      </c>
      <c r="I14">
        <v>62</v>
      </c>
      <c r="J14">
        <v>67</v>
      </c>
      <c r="K14">
        <v>95</v>
      </c>
      <c r="L14">
        <v>70</v>
      </c>
      <c r="M14">
        <v>74</v>
      </c>
      <c r="N14">
        <v>47</v>
      </c>
      <c r="O14">
        <v>60</v>
      </c>
      <c r="P14">
        <v>43</v>
      </c>
      <c r="Q14">
        <v>47</v>
      </c>
      <c r="S14" s="11" t="s">
        <v>12</v>
      </c>
      <c r="T14" s="11">
        <v>77.5</v>
      </c>
      <c r="U14" s="11">
        <v>75</v>
      </c>
      <c r="V14" s="11">
        <v>87</v>
      </c>
      <c r="W14" s="11">
        <v>94</v>
      </c>
      <c r="X14" s="120">
        <v>76.5</v>
      </c>
      <c r="Y14" s="11">
        <v>78.5</v>
      </c>
      <c r="Z14" s="11">
        <v>77</v>
      </c>
      <c r="AA14" s="11">
        <v>81</v>
      </c>
      <c r="AB14" s="11">
        <v>88</v>
      </c>
      <c r="AC14" s="120">
        <v>74</v>
      </c>
      <c r="AD14" s="11">
        <v>73</v>
      </c>
      <c r="AE14" s="11">
        <v>61</v>
      </c>
      <c r="AF14" s="11">
        <v>72</v>
      </c>
      <c r="AG14" s="11">
        <v>50.5</v>
      </c>
      <c r="AH14" s="11">
        <v>45.5</v>
      </c>
      <c r="AK14" s="162" t="s">
        <v>178</v>
      </c>
      <c r="AL14" s="162" t="s">
        <v>164</v>
      </c>
      <c r="AM14" s="162" t="s">
        <v>164</v>
      </c>
      <c r="AN14" s="162" t="s">
        <v>179</v>
      </c>
      <c r="AO14" s="162" t="s">
        <v>150</v>
      </c>
      <c r="AP14" s="162" t="s">
        <v>180</v>
      </c>
      <c r="AQ14" s="162" t="s">
        <v>173</v>
      </c>
      <c r="AR14" s="162" t="s">
        <v>181</v>
      </c>
      <c r="AS14" s="162" t="s">
        <v>182</v>
      </c>
      <c r="AT14" s="162" t="s">
        <v>159</v>
      </c>
      <c r="AU14" s="162" t="s">
        <v>164</v>
      </c>
      <c r="AV14" s="162" t="s">
        <v>162</v>
      </c>
      <c r="AW14" s="162" t="s">
        <v>183</v>
      </c>
      <c r="AX14" s="162" t="s">
        <v>184</v>
      </c>
      <c r="AY14" s="162" t="s">
        <v>185</v>
      </c>
      <c r="AZ14" s="162" t="s">
        <v>186</v>
      </c>
    </row>
    <row r="15" spans="2:52" ht="17">
      <c r="B15">
        <v>2</v>
      </c>
      <c r="C15">
        <v>67</v>
      </c>
      <c r="D15">
        <v>84</v>
      </c>
      <c r="E15">
        <v>100</v>
      </c>
      <c r="F15">
        <v>93</v>
      </c>
      <c r="G15">
        <v>64</v>
      </c>
      <c r="H15">
        <v>80</v>
      </c>
      <c r="I15">
        <v>97</v>
      </c>
      <c r="J15">
        <v>64</v>
      </c>
      <c r="K15">
        <v>93</v>
      </c>
      <c r="L15">
        <v>62</v>
      </c>
      <c r="M15">
        <v>76</v>
      </c>
      <c r="N15">
        <v>71</v>
      </c>
      <c r="O15">
        <v>88</v>
      </c>
      <c r="P15">
        <v>53</v>
      </c>
      <c r="Q15">
        <v>44</v>
      </c>
      <c r="S15" s="11" t="s">
        <v>13</v>
      </c>
      <c r="T15" s="11" t="s">
        <v>39</v>
      </c>
      <c r="U15" s="11" t="s">
        <v>39</v>
      </c>
      <c r="V15" s="11" t="s">
        <v>39</v>
      </c>
      <c r="W15" s="11">
        <v>95</v>
      </c>
      <c r="X15" s="120" t="s">
        <v>39</v>
      </c>
      <c r="Y15" s="11" t="s">
        <v>39</v>
      </c>
      <c r="Z15" s="11">
        <v>77</v>
      </c>
      <c r="AA15" s="11" t="s">
        <v>39</v>
      </c>
      <c r="AB15" s="11" t="s">
        <v>39</v>
      </c>
      <c r="AC15" s="120" t="s">
        <v>39</v>
      </c>
      <c r="AD15" s="11">
        <v>74</v>
      </c>
      <c r="AE15" s="11" t="s">
        <v>39</v>
      </c>
      <c r="AF15" s="11" t="s">
        <v>39</v>
      </c>
      <c r="AG15" s="11" t="s">
        <v>39</v>
      </c>
      <c r="AH15" s="11" t="s">
        <v>39</v>
      </c>
      <c r="AK15" s="162" t="s">
        <v>187</v>
      </c>
      <c r="AL15" s="162" t="s">
        <v>182</v>
      </c>
      <c r="AM15" s="162" t="s">
        <v>182</v>
      </c>
      <c r="AN15" s="162" t="s">
        <v>181</v>
      </c>
      <c r="AO15" s="162" t="s">
        <v>150</v>
      </c>
      <c r="AP15" s="162" t="s">
        <v>180</v>
      </c>
      <c r="AQ15" s="162" t="s">
        <v>173</v>
      </c>
      <c r="AR15" s="162" t="s">
        <v>188</v>
      </c>
      <c r="AS15" s="162" t="s">
        <v>180</v>
      </c>
      <c r="AT15" s="162" t="s">
        <v>153</v>
      </c>
      <c r="AU15" s="162" t="s">
        <v>188</v>
      </c>
      <c r="AV15" s="162" t="s">
        <v>162</v>
      </c>
      <c r="AW15" s="162" t="s">
        <v>189</v>
      </c>
      <c r="AX15" s="162" t="s">
        <v>185</v>
      </c>
      <c r="AY15" s="162" t="s">
        <v>186</v>
      </c>
      <c r="AZ15" s="162" t="s">
        <v>186</v>
      </c>
    </row>
    <row r="16" spans="2:52" ht="17">
      <c r="B16">
        <v>3</v>
      </c>
      <c r="C16">
        <v>73</v>
      </c>
      <c r="D16">
        <v>70</v>
      </c>
      <c r="E16">
        <v>65</v>
      </c>
      <c r="F16">
        <v>99</v>
      </c>
      <c r="G16">
        <v>80</v>
      </c>
      <c r="H16">
        <v>83</v>
      </c>
      <c r="I16">
        <v>63</v>
      </c>
      <c r="J16">
        <v>85</v>
      </c>
      <c r="K16">
        <v>100</v>
      </c>
      <c r="L16">
        <v>77</v>
      </c>
      <c r="M16">
        <v>72</v>
      </c>
      <c r="N16">
        <v>54</v>
      </c>
      <c r="O16">
        <v>86</v>
      </c>
      <c r="P16">
        <v>48</v>
      </c>
      <c r="Q16">
        <v>16</v>
      </c>
      <c r="S16" s="11" t="s">
        <v>14</v>
      </c>
      <c r="T16" s="145">
        <v>10.385887861259969</v>
      </c>
      <c r="U16" s="144">
        <v>6.7354782062350012</v>
      </c>
      <c r="V16" s="145">
        <v>16.232683080747925</v>
      </c>
      <c r="W16" s="144">
        <v>8.4320815935331179</v>
      </c>
      <c r="X16" s="146">
        <v>17.580291996058154</v>
      </c>
      <c r="Y16" s="145">
        <v>13.467244212037857</v>
      </c>
      <c r="Z16" s="145">
        <v>13.721030087667149</v>
      </c>
      <c r="AA16" s="144">
        <v>9.9129544872690278</v>
      </c>
      <c r="AB16" s="144">
        <v>9.4956130221627433</v>
      </c>
      <c r="AC16" s="151">
        <v>8.7349871207689826</v>
      </c>
      <c r="AD16" s="144">
        <v>5.7416606192517747</v>
      </c>
      <c r="AE16" s="145">
        <v>11.373946837692992</v>
      </c>
      <c r="AF16" s="145">
        <v>19.856988694160048</v>
      </c>
      <c r="AG16" s="145">
        <v>14.746751054610856</v>
      </c>
      <c r="AH16" s="145">
        <v>13.589211407093011</v>
      </c>
      <c r="AK16" s="162" t="s">
        <v>190</v>
      </c>
      <c r="AL16" s="162" t="s">
        <v>191</v>
      </c>
      <c r="AM16" s="162" t="s">
        <v>191</v>
      </c>
      <c r="AN16" s="162" t="s">
        <v>191</v>
      </c>
      <c r="AO16" s="162" t="s">
        <v>191</v>
      </c>
      <c r="AP16" s="162" t="s">
        <v>191</v>
      </c>
      <c r="AQ16" s="162" t="s">
        <v>191</v>
      </c>
      <c r="AR16" s="162" t="s">
        <v>191</v>
      </c>
      <c r="AS16" s="162" t="s">
        <v>191</v>
      </c>
      <c r="AT16" s="162" t="s">
        <v>191</v>
      </c>
      <c r="AU16" s="162" t="s">
        <v>191</v>
      </c>
      <c r="AV16" s="162" t="s">
        <v>191</v>
      </c>
      <c r="AW16" s="162" t="s">
        <v>191</v>
      </c>
      <c r="AX16" s="162" t="s">
        <v>191</v>
      </c>
      <c r="AY16" s="162" t="s">
        <v>191</v>
      </c>
      <c r="AZ16" s="162" t="s">
        <v>191</v>
      </c>
    </row>
    <row r="17" spans="2:52" ht="17">
      <c r="B17">
        <v>4</v>
      </c>
      <c r="C17">
        <v>70</v>
      </c>
      <c r="D17">
        <v>71</v>
      </c>
      <c r="E17">
        <v>99</v>
      </c>
      <c r="F17">
        <v>95</v>
      </c>
      <c r="G17">
        <v>74</v>
      </c>
      <c r="H17">
        <v>77</v>
      </c>
      <c r="I17">
        <v>77</v>
      </c>
      <c r="J17">
        <v>83</v>
      </c>
      <c r="K17">
        <v>80</v>
      </c>
      <c r="L17">
        <v>80</v>
      </c>
      <c r="M17">
        <v>71</v>
      </c>
      <c r="N17">
        <v>56</v>
      </c>
      <c r="O17">
        <v>84</v>
      </c>
      <c r="P17">
        <v>79</v>
      </c>
      <c r="Q17">
        <v>43</v>
      </c>
      <c r="S17" s="11" t="s">
        <v>15</v>
      </c>
      <c r="T17" s="152">
        <v>107.86666666666716</v>
      </c>
      <c r="U17" s="145">
        <v>45.366666666666667</v>
      </c>
      <c r="V17" s="152">
        <v>263.5</v>
      </c>
      <c r="W17" s="145">
        <v>71.099999999999994</v>
      </c>
      <c r="X17" s="153">
        <v>309.06666666666644</v>
      </c>
      <c r="Y17" s="152">
        <v>181.36666666666716</v>
      </c>
      <c r="Z17" s="152">
        <v>188.26666666666716</v>
      </c>
      <c r="AA17" s="145">
        <v>98.266666666667149</v>
      </c>
      <c r="AB17" s="11">
        <v>90.166666666666657</v>
      </c>
      <c r="AC17" s="120">
        <v>76.3</v>
      </c>
      <c r="AD17" s="145">
        <v>32.966666666666669</v>
      </c>
      <c r="AE17" s="145">
        <v>129.36666666666642</v>
      </c>
      <c r="AF17" s="152">
        <v>394.3</v>
      </c>
      <c r="AG17" s="152">
        <v>217.46666666666641</v>
      </c>
      <c r="AH17" s="152">
        <v>184.6666666666668</v>
      </c>
      <c r="AK17" s="162" t="s">
        <v>192</v>
      </c>
      <c r="AL17" s="162" t="s">
        <v>193</v>
      </c>
      <c r="AM17" s="162" t="s">
        <v>194</v>
      </c>
      <c r="AN17" s="162" t="s">
        <v>195</v>
      </c>
      <c r="AO17" s="162" t="s">
        <v>196</v>
      </c>
      <c r="AP17" s="162" t="s">
        <v>197</v>
      </c>
      <c r="AQ17" s="162" t="s">
        <v>198</v>
      </c>
      <c r="AR17" s="162" t="s">
        <v>199</v>
      </c>
      <c r="AS17" s="162" t="s">
        <v>200</v>
      </c>
      <c r="AT17" s="162" t="s">
        <v>201</v>
      </c>
      <c r="AU17" s="162" t="s">
        <v>202</v>
      </c>
      <c r="AV17" s="162" t="s">
        <v>203</v>
      </c>
      <c r="AW17" s="162" t="s">
        <v>204</v>
      </c>
      <c r="AX17" s="162" t="s">
        <v>205</v>
      </c>
      <c r="AY17" s="162" t="s">
        <v>206</v>
      </c>
      <c r="AZ17" s="162">
        <v>42.33</v>
      </c>
    </row>
    <row r="18" spans="2:52">
      <c r="B18">
        <v>5</v>
      </c>
      <c r="C18">
        <v>83</v>
      </c>
      <c r="D18">
        <v>67</v>
      </c>
      <c r="E18">
        <v>84</v>
      </c>
      <c r="F18">
        <v>92</v>
      </c>
      <c r="G18">
        <v>87</v>
      </c>
      <c r="H18">
        <v>52</v>
      </c>
      <c r="I18">
        <v>88</v>
      </c>
      <c r="J18">
        <v>79</v>
      </c>
      <c r="K18">
        <v>83</v>
      </c>
      <c r="L18">
        <v>71</v>
      </c>
      <c r="M18">
        <v>60</v>
      </c>
      <c r="N18">
        <v>77</v>
      </c>
      <c r="O18">
        <v>45</v>
      </c>
      <c r="P18">
        <v>70</v>
      </c>
      <c r="Q18">
        <v>49</v>
      </c>
      <c r="S18" s="11" t="s">
        <v>16</v>
      </c>
      <c r="T18" s="11">
        <v>-0.23708480460089643</v>
      </c>
      <c r="U18" s="144">
        <v>-2.0624664947382243</v>
      </c>
      <c r="V18" s="144">
        <v>-1.9413500210636974</v>
      </c>
      <c r="W18" s="144">
        <v>4.4938785925807228</v>
      </c>
      <c r="X18" s="151">
        <v>2.4432085505564274</v>
      </c>
      <c r="Y18" s="144">
        <v>2.3991330906966386</v>
      </c>
      <c r="Z18" s="144">
        <v>-1.1146528842218437</v>
      </c>
      <c r="AA18" s="144">
        <v>-1.6876101176613529</v>
      </c>
      <c r="AB18" s="144">
        <v>-2.0154461683539422</v>
      </c>
      <c r="AC18" s="150">
        <v>-0.1968328784253357</v>
      </c>
      <c r="AD18" s="144">
        <v>4.1996337876397831</v>
      </c>
      <c r="AE18" s="144">
        <v>-1.498065914977273</v>
      </c>
      <c r="AF18" s="11">
        <v>-2.7250255012960811</v>
      </c>
      <c r="AG18" s="144">
        <v>-1.0412330306323589</v>
      </c>
      <c r="AH18" s="144">
        <v>4.1994721682805682</v>
      </c>
    </row>
    <row r="19" spans="2:52">
      <c r="B19" s="5">
        <v>6</v>
      </c>
      <c r="C19" s="5">
        <v>95</v>
      </c>
      <c r="D19" s="5">
        <v>80</v>
      </c>
      <c r="E19" s="5">
        <v>63</v>
      </c>
      <c r="F19" s="5">
        <v>95</v>
      </c>
      <c r="G19" s="5">
        <v>79</v>
      </c>
      <c r="H19" s="5">
        <v>73</v>
      </c>
      <c r="I19" s="5">
        <v>77</v>
      </c>
      <c r="J19" s="5">
        <v>88</v>
      </c>
      <c r="K19" s="5">
        <v>76</v>
      </c>
      <c r="L19" s="5">
        <v>87</v>
      </c>
      <c r="M19" s="5">
        <v>74</v>
      </c>
      <c r="N19" s="5">
        <v>66</v>
      </c>
      <c r="O19" s="5">
        <v>48</v>
      </c>
      <c r="P19" s="5">
        <v>45</v>
      </c>
      <c r="Q19" s="5">
        <v>55</v>
      </c>
      <c r="S19" s="11" t="s">
        <v>17</v>
      </c>
      <c r="T19" s="148">
        <v>0.69475989818770589</v>
      </c>
      <c r="U19" s="148">
        <v>0.10166918727711048</v>
      </c>
      <c r="V19" s="148">
        <v>-0.45280774554753145</v>
      </c>
      <c r="W19" s="11">
        <v>-1.9920903478107932</v>
      </c>
      <c r="X19" s="120">
        <v>-1.5362278348162459</v>
      </c>
      <c r="Y19" s="11">
        <v>-1.2037348080636034</v>
      </c>
      <c r="Z19" s="148">
        <v>0.26367683941436809</v>
      </c>
      <c r="AA19" s="148">
        <v>-0.65119071099210069</v>
      </c>
      <c r="AB19" s="147">
        <v>1.9777593005050196E-2</v>
      </c>
      <c r="AC19" s="149">
        <v>2.1606065341691714E-2</v>
      </c>
      <c r="AD19" s="144">
        <v>-1.9549168620543078</v>
      </c>
      <c r="AE19" s="147">
        <v>7.9198432704126895E-2</v>
      </c>
      <c r="AF19" s="11">
        <v>-0.21874650966539422</v>
      </c>
      <c r="AG19" s="148">
        <v>0.91269103397543627</v>
      </c>
      <c r="AH19" s="11">
        <v>-1.891896851951925</v>
      </c>
    </row>
    <row r="20" spans="2:52">
      <c r="B20" t="s">
        <v>3</v>
      </c>
      <c r="C20" s="3">
        <f>AVERAGE(C14:C19)</f>
        <v>78.333333333333329</v>
      </c>
      <c r="D20" s="3">
        <f t="shared" ref="D20:Q20" si="0">AVERAGE(D14:D19)</f>
        <v>75.166666666666671</v>
      </c>
      <c r="E20" s="3">
        <f t="shared" si="0"/>
        <v>83.5</v>
      </c>
      <c r="F20" s="3">
        <f t="shared" si="0"/>
        <v>91.5</v>
      </c>
      <c r="G20" s="3">
        <f t="shared" si="0"/>
        <v>70.333333333333329</v>
      </c>
      <c r="H20" s="3">
        <f t="shared" si="0"/>
        <v>76.166666666666671</v>
      </c>
      <c r="I20" s="3">
        <f t="shared" si="0"/>
        <v>77.333333333333329</v>
      </c>
      <c r="J20" s="3">
        <f t="shared" si="0"/>
        <v>77.666666666666671</v>
      </c>
      <c r="K20" s="3">
        <f t="shared" si="0"/>
        <v>87.833333333333329</v>
      </c>
      <c r="L20" s="3">
        <f t="shared" si="0"/>
        <v>74.5</v>
      </c>
      <c r="M20" s="3">
        <f t="shared" si="0"/>
        <v>71.166666666666671</v>
      </c>
      <c r="N20" s="3">
        <f t="shared" si="0"/>
        <v>61.833333333333336</v>
      </c>
      <c r="O20" s="3">
        <f t="shared" si="0"/>
        <v>68.5</v>
      </c>
      <c r="P20" s="3">
        <f t="shared" si="0"/>
        <v>56.333333333333336</v>
      </c>
      <c r="Q20" s="3">
        <f t="shared" si="0"/>
        <v>42.333333333333336</v>
      </c>
      <c r="S20" s="11" t="s">
        <v>18</v>
      </c>
      <c r="T20" s="11">
        <v>28</v>
      </c>
      <c r="U20" s="11">
        <v>17</v>
      </c>
      <c r="V20" s="11">
        <v>37</v>
      </c>
      <c r="W20" s="11">
        <v>24</v>
      </c>
      <c r="X20" s="120">
        <v>49</v>
      </c>
      <c r="Y20" s="11">
        <v>40</v>
      </c>
      <c r="Z20" s="11">
        <v>35</v>
      </c>
      <c r="AA20" s="11">
        <v>24</v>
      </c>
      <c r="AB20" s="11">
        <v>24</v>
      </c>
      <c r="AC20" s="120">
        <v>25</v>
      </c>
      <c r="AD20" s="11">
        <v>16</v>
      </c>
      <c r="AE20" s="11">
        <v>30</v>
      </c>
      <c r="AF20" s="11">
        <v>43</v>
      </c>
      <c r="AG20" s="11">
        <v>36</v>
      </c>
      <c r="AH20" s="11">
        <v>39</v>
      </c>
    </row>
    <row r="21" spans="2:52">
      <c r="B21" t="s">
        <v>2</v>
      </c>
      <c r="C21" s="19">
        <f>_xlfn.VAR.S(C14:C19)</f>
        <v>107.86666666666716</v>
      </c>
      <c r="D21" s="3">
        <f t="shared" ref="D21:P21" si="1">_xlfn.VAR.S(D14:D19)</f>
        <v>45.366666666666667</v>
      </c>
      <c r="E21" s="19">
        <f t="shared" si="1"/>
        <v>263.5</v>
      </c>
      <c r="F21" s="3">
        <f t="shared" si="1"/>
        <v>71.099999999999994</v>
      </c>
      <c r="G21" s="19">
        <f t="shared" si="1"/>
        <v>309.06666666666644</v>
      </c>
      <c r="H21" s="3">
        <f t="shared" si="1"/>
        <v>181.36666666666716</v>
      </c>
      <c r="I21" s="19">
        <f t="shared" si="1"/>
        <v>188.26666666666716</v>
      </c>
      <c r="J21" s="3">
        <f t="shared" si="1"/>
        <v>98.266666666667149</v>
      </c>
      <c r="K21" s="3">
        <f t="shared" si="1"/>
        <v>90.166666666666657</v>
      </c>
      <c r="L21" s="3">
        <f t="shared" si="1"/>
        <v>76.3</v>
      </c>
      <c r="M21" s="3">
        <f t="shared" si="1"/>
        <v>32.966666666666669</v>
      </c>
      <c r="N21" s="19">
        <f t="shared" si="1"/>
        <v>129.36666666666642</v>
      </c>
      <c r="O21" s="19">
        <f t="shared" si="1"/>
        <v>394.3</v>
      </c>
      <c r="P21" s="19">
        <f t="shared" si="1"/>
        <v>217.46666666666641</v>
      </c>
      <c r="Q21" s="19">
        <f>_xlfn.VAR.S(Q14:Q19)</f>
        <v>184.6666666666668</v>
      </c>
      <c r="S21" s="11" t="s">
        <v>19</v>
      </c>
      <c r="T21" s="11">
        <v>67</v>
      </c>
      <c r="U21" s="11">
        <v>67</v>
      </c>
      <c r="V21" s="11">
        <v>63</v>
      </c>
      <c r="W21" s="11">
        <v>75</v>
      </c>
      <c r="X21" s="120">
        <v>38</v>
      </c>
      <c r="Y21" s="11">
        <v>52</v>
      </c>
      <c r="Z21" s="11">
        <v>62</v>
      </c>
      <c r="AA21" s="11">
        <v>64</v>
      </c>
      <c r="AB21" s="11">
        <v>76</v>
      </c>
      <c r="AC21" s="120">
        <v>62</v>
      </c>
      <c r="AD21" s="11">
        <v>60</v>
      </c>
      <c r="AE21" s="11">
        <v>47</v>
      </c>
      <c r="AF21" s="11">
        <v>45</v>
      </c>
      <c r="AG21" s="11">
        <v>43</v>
      </c>
      <c r="AH21" s="11">
        <v>16</v>
      </c>
    </row>
    <row r="22" spans="2:52">
      <c r="B22" t="s">
        <v>1</v>
      </c>
      <c r="E22" s="3">
        <f>SUM(C14:G19)/(COUNT(C14:C19)*COUNT(C14:G14))</f>
        <v>79.766666666666666</v>
      </c>
      <c r="F22" s="3"/>
      <c r="G22" s="3"/>
      <c r="H22" s="3"/>
      <c r="I22" s="3"/>
      <c r="J22" s="3">
        <f>SUM(H14:L19)/(COUNT(H14:H19)*COUNT(H14:L14))</f>
        <v>78.7</v>
      </c>
      <c r="K22" s="3"/>
      <c r="L22" s="3"/>
      <c r="M22" s="3"/>
      <c r="N22" s="3"/>
      <c r="O22" s="3">
        <f>SUM(M14:Q19)/(COUNT(M14:M19)*COUNT(M14:Q14))</f>
        <v>60.033333333333331</v>
      </c>
      <c r="S22" s="11" t="s">
        <v>20</v>
      </c>
      <c r="T22" s="11">
        <v>95</v>
      </c>
      <c r="U22" s="11">
        <v>84</v>
      </c>
      <c r="V22" s="11">
        <v>100</v>
      </c>
      <c r="W22" s="11">
        <v>99</v>
      </c>
      <c r="X22" s="120">
        <v>87</v>
      </c>
      <c r="Y22" s="11">
        <v>92</v>
      </c>
      <c r="Z22" s="11">
        <v>97</v>
      </c>
      <c r="AA22" s="11">
        <v>88</v>
      </c>
      <c r="AB22" s="11">
        <v>100</v>
      </c>
      <c r="AC22" s="120">
        <v>87</v>
      </c>
      <c r="AD22" s="11">
        <v>76</v>
      </c>
      <c r="AE22" s="11">
        <v>77</v>
      </c>
      <c r="AF22" s="11">
        <v>88</v>
      </c>
      <c r="AG22" s="11">
        <v>79</v>
      </c>
      <c r="AH22" s="11">
        <v>55</v>
      </c>
    </row>
    <row r="23" spans="2:52" ht="17" thickBot="1">
      <c r="B23" s="1" t="s">
        <v>0</v>
      </c>
      <c r="C23" s="1"/>
      <c r="D23" s="1"/>
      <c r="E23" s="2"/>
      <c r="F23" s="2"/>
      <c r="G23" s="2"/>
      <c r="H23" s="2"/>
      <c r="I23" s="2"/>
      <c r="J23" s="2">
        <f>SUM(C14:Q19)/(COUNT(C11:Q11)*COUNT(C13:G13)*COUNT(B14:B19))</f>
        <v>72.833333333333329</v>
      </c>
      <c r="K23" s="2"/>
      <c r="L23" s="2"/>
      <c r="M23" s="2"/>
      <c r="N23" s="2"/>
      <c r="O23" s="2"/>
      <c r="P23" s="1"/>
      <c r="Q23" s="1"/>
      <c r="S23" s="11" t="s">
        <v>21</v>
      </c>
      <c r="T23" s="11">
        <v>470</v>
      </c>
      <c r="U23" s="11">
        <v>451</v>
      </c>
      <c r="V23" s="11">
        <v>501</v>
      </c>
      <c r="W23" s="11">
        <v>549</v>
      </c>
      <c r="X23" s="120">
        <v>422</v>
      </c>
      <c r="Y23" s="11">
        <v>457</v>
      </c>
      <c r="Z23" s="11">
        <v>464</v>
      </c>
      <c r="AA23" s="11">
        <v>466</v>
      </c>
      <c r="AB23" s="11">
        <v>527</v>
      </c>
      <c r="AC23" s="120">
        <v>447</v>
      </c>
      <c r="AD23" s="11">
        <v>427</v>
      </c>
      <c r="AE23" s="11">
        <v>371</v>
      </c>
      <c r="AF23" s="11">
        <v>411</v>
      </c>
      <c r="AG23" s="11">
        <v>338</v>
      </c>
      <c r="AH23" s="11">
        <v>254</v>
      </c>
    </row>
    <row r="24" spans="2:52" ht="17" thickTop="1">
      <c r="S24" s="11" t="s">
        <v>22</v>
      </c>
      <c r="T24" s="11">
        <v>6</v>
      </c>
      <c r="U24" s="11">
        <v>6</v>
      </c>
      <c r="V24" s="11">
        <v>6</v>
      </c>
      <c r="W24" s="11">
        <v>6</v>
      </c>
      <c r="X24" s="120">
        <v>6</v>
      </c>
      <c r="Y24" s="11">
        <v>6</v>
      </c>
      <c r="Z24" s="11">
        <v>6</v>
      </c>
      <c r="AA24" s="11">
        <v>6</v>
      </c>
      <c r="AB24" s="11">
        <v>6</v>
      </c>
      <c r="AC24" s="120">
        <v>6</v>
      </c>
      <c r="AD24" s="11">
        <v>6</v>
      </c>
      <c r="AE24" s="11">
        <v>6</v>
      </c>
      <c r="AF24" s="11">
        <v>6</v>
      </c>
      <c r="AG24" s="11">
        <v>6</v>
      </c>
      <c r="AH24" s="11">
        <v>6</v>
      </c>
    </row>
    <row r="25" spans="2:52" ht="17" thickBot="1">
      <c r="B25" t="s">
        <v>9</v>
      </c>
      <c r="S25" s="12" t="s">
        <v>23</v>
      </c>
      <c r="T25" s="156">
        <v>10.899320873569295</v>
      </c>
      <c r="U25" s="154">
        <v>7.0684508813656874</v>
      </c>
      <c r="V25" s="156">
        <v>17.03515615607342</v>
      </c>
      <c r="W25" s="154">
        <v>8.8489269427645816</v>
      </c>
      <c r="X25" s="157">
        <v>18.449384980441547</v>
      </c>
      <c r="Y25" s="156">
        <v>14.133006047295442</v>
      </c>
      <c r="Z25" s="156">
        <v>14.399337990083033</v>
      </c>
      <c r="AA25" s="156">
        <v>10.403007735606945</v>
      </c>
      <c r="AB25" s="154">
        <v>9.9650347281180025</v>
      </c>
      <c r="AC25" s="155">
        <v>9.1668067985673822</v>
      </c>
      <c r="AD25" s="154">
        <v>6.0255032860300606</v>
      </c>
      <c r="AE25" s="156">
        <v>11.936225177757258</v>
      </c>
      <c r="AF25" s="156">
        <v>20.83863163666318</v>
      </c>
      <c r="AG25" s="156">
        <v>15.475766129382329</v>
      </c>
      <c r="AH25" s="156">
        <v>14.261002768684468</v>
      </c>
    </row>
    <row r="26" spans="2:52">
      <c r="B26" t="s">
        <v>8</v>
      </c>
    </row>
    <row r="51" spans="3:32">
      <c r="E51" s="14" t="s">
        <v>41</v>
      </c>
      <c r="F51">
        <f>COUNT(C11:Q11)</f>
        <v>3</v>
      </c>
      <c r="G51" s="14" t="s">
        <v>42</v>
      </c>
      <c r="H51">
        <f>COUNT(C13:G13)</f>
        <v>5</v>
      </c>
      <c r="I51" s="14" t="s">
        <v>43</v>
      </c>
      <c r="J51">
        <f>COUNT(B14:B19)</f>
        <v>6</v>
      </c>
    </row>
    <row r="53" spans="3:32">
      <c r="G53" t="s">
        <v>44</v>
      </c>
      <c r="H53" s="15" t="s">
        <v>46</v>
      </c>
      <c r="I53" s="9" t="s">
        <v>47</v>
      </c>
      <c r="J53" s="10" t="s">
        <v>45</v>
      </c>
    </row>
    <row r="54" spans="3:32">
      <c r="G54" s="16">
        <f>MAX(C21:Q21)/SUM(C21:Q21)</f>
        <v>0.16497677856654711</v>
      </c>
      <c r="H54">
        <f>F51*H51</f>
        <v>15</v>
      </c>
      <c r="I54">
        <f>J51-1</f>
        <v>5</v>
      </c>
      <c r="K54" s="16">
        <v>0.2195</v>
      </c>
    </row>
    <row r="57" spans="3:32">
      <c r="C57" t="s">
        <v>61</v>
      </c>
      <c r="AF57" s="26"/>
    </row>
    <row r="58" spans="3:32">
      <c r="C58">
        <f t="shared" ref="C58:Q58" si="2">DEVSQ(C14:C19)</f>
        <v>539.33333333333337</v>
      </c>
      <c r="D58">
        <f t="shared" si="2"/>
        <v>226.83333333333334</v>
      </c>
      <c r="E58">
        <f t="shared" si="2"/>
        <v>1317.5</v>
      </c>
      <c r="F58">
        <f t="shared" si="2"/>
        <v>355.5</v>
      </c>
      <c r="G58">
        <f t="shared" si="2"/>
        <v>1545.3333333333335</v>
      </c>
      <c r="H58">
        <f t="shared" si="2"/>
        <v>906.83333333333348</v>
      </c>
      <c r="I58">
        <f t="shared" si="2"/>
        <v>941.33333333333326</v>
      </c>
      <c r="J58">
        <f t="shared" si="2"/>
        <v>491.33333333333337</v>
      </c>
      <c r="K58">
        <f t="shared" si="2"/>
        <v>450.83333333333331</v>
      </c>
      <c r="L58">
        <f t="shared" si="2"/>
        <v>381.5</v>
      </c>
      <c r="M58">
        <f t="shared" si="2"/>
        <v>164.83333333333334</v>
      </c>
      <c r="N58">
        <f t="shared" si="2"/>
        <v>646.83333333333337</v>
      </c>
      <c r="O58">
        <f t="shared" si="2"/>
        <v>1971.5</v>
      </c>
      <c r="P58">
        <f t="shared" si="2"/>
        <v>1087.3333333333333</v>
      </c>
      <c r="Q58">
        <f t="shared" si="2"/>
        <v>923.33333333333337</v>
      </c>
    </row>
    <row r="60" spans="3:32">
      <c r="S60" s="7" t="s">
        <v>48</v>
      </c>
    </row>
    <row r="61" spans="3:32" ht="17" thickBot="1">
      <c r="E61" s="29" t="s">
        <v>65</v>
      </c>
      <c r="S61" s="7" t="s">
        <v>62</v>
      </c>
    </row>
    <row r="62" spans="3:32">
      <c r="C62" s="5"/>
      <c r="D62" s="57" t="s">
        <v>6</v>
      </c>
      <c r="E62" s="121" t="s">
        <v>5</v>
      </c>
      <c r="F62" s="121" t="s">
        <v>4</v>
      </c>
      <c r="G62" s="3"/>
      <c r="S62" s="17" t="s">
        <v>49</v>
      </c>
      <c r="T62" s="17" t="s">
        <v>50</v>
      </c>
      <c r="U62" s="17" t="s">
        <v>51</v>
      </c>
      <c r="V62" s="17" t="s">
        <v>52</v>
      </c>
      <c r="W62" s="17" t="s">
        <v>53</v>
      </c>
      <c r="X62" s="17" t="s">
        <v>54</v>
      </c>
    </row>
    <row r="63" spans="3:32">
      <c r="C63" s="10" t="s">
        <v>66</v>
      </c>
      <c r="D63" s="30">
        <f>E22</f>
        <v>79.766666666666666</v>
      </c>
      <c r="E63" s="30">
        <f>J22</f>
        <v>78.7</v>
      </c>
      <c r="F63" s="30">
        <f>O22</f>
        <v>60.033333333333331</v>
      </c>
      <c r="S63" s="18" t="s">
        <v>55</v>
      </c>
      <c r="T63" s="19">
        <f>$H$51*$J$51*DEVSQ($C$22:$Q$22)</f>
        <v>7389.8666666666686</v>
      </c>
      <c r="U63" s="18">
        <f>$F$51-1</f>
        <v>2</v>
      </c>
      <c r="V63" s="20">
        <f>T63/U63</f>
        <v>3694.9333333333343</v>
      </c>
      <c r="W63" s="21">
        <f>V63/V65</f>
        <v>8.2102534348883438</v>
      </c>
      <c r="X63" s="164">
        <f>_xlfn.F.DIST.RT(W63,U63,U65)</f>
        <v>5.6662608201264461E-3</v>
      </c>
      <c r="Y63" s="164"/>
    </row>
    <row r="64" spans="3:32">
      <c r="C64" t="s">
        <v>67</v>
      </c>
      <c r="D64" s="8">
        <f>SQRT(_xlfn.VAR.S(C14:G19)/COUNT(C14:G19))</f>
        <v>2.5296782464675904</v>
      </c>
      <c r="E64" s="8">
        <f>SQRT(VAR(H14:L19)/COUNT(H14:L19))</f>
        <v>2.0993430828024113</v>
      </c>
      <c r="F64" s="8">
        <f>SQRT(VAR(M14:Q19)/COUNT(M14:Q19))</f>
        <v>3.0227046324474296</v>
      </c>
      <c r="S64" s="18" t="s">
        <v>56</v>
      </c>
      <c r="T64" s="20"/>
      <c r="U64" s="18"/>
      <c r="V64" s="20"/>
      <c r="W64" s="21"/>
      <c r="X64" s="22"/>
    </row>
    <row r="65" spans="3:25">
      <c r="C65" s="31" t="s">
        <v>68</v>
      </c>
      <c r="D65" s="8">
        <f>TINV(0.05,(H51*J51)-1)</f>
        <v>2.0452296421327048</v>
      </c>
      <c r="S65" s="18" t="s">
        <v>57</v>
      </c>
      <c r="T65" s="19">
        <f>$J$51*(DEVSQ($C$20:$G$20)+DEVSQ($H$20:$L$20)+DEVSQ($M$20:$Q$20))</f>
        <v>5400.4666666666672</v>
      </c>
      <c r="U65" s="18">
        <f>$F$51*($H$51-1)</f>
        <v>12</v>
      </c>
      <c r="V65" s="20">
        <f>T65/U65</f>
        <v>450.03888888888895</v>
      </c>
      <c r="W65" s="21">
        <f>V65/V66</f>
        <v>2.8244724620298185</v>
      </c>
      <c r="X65" s="165">
        <f>_xlfn.F.DIST.RT(W65,U65,U66)</f>
        <v>3.0493415814849445E-3</v>
      </c>
      <c r="Y65" s="165"/>
    </row>
    <row r="66" spans="3:25">
      <c r="C66" s="31" t="s">
        <v>69</v>
      </c>
      <c r="D66" s="8">
        <f>$D$65*D64</f>
        <v>5.1737729347337984</v>
      </c>
      <c r="E66" s="8">
        <f t="shared" ref="E66:F66" si="3">$D$65*E64</f>
        <v>4.2936387019537445</v>
      </c>
      <c r="F66" s="8">
        <f t="shared" si="3"/>
        <v>6.1821251136933251</v>
      </c>
      <c r="S66" s="18" t="s">
        <v>58</v>
      </c>
      <c r="T66" s="23">
        <f>SUM($C$58:$Q$58)</f>
        <v>11950.166666666668</v>
      </c>
      <c r="U66" s="18">
        <f>$F$51*$H$51*($J$51-1)</f>
        <v>75</v>
      </c>
      <c r="V66" s="20">
        <f>T66/U66</f>
        <v>159.33555555555557</v>
      </c>
      <c r="W66" s="20"/>
      <c r="X66" s="18"/>
    </row>
    <row r="67" spans="3:25">
      <c r="S67" s="18"/>
      <c r="T67" s="20"/>
      <c r="U67" s="18"/>
      <c r="V67" s="18"/>
      <c r="W67" s="18"/>
      <c r="X67" s="18"/>
    </row>
    <row r="68" spans="3:25">
      <c r="S68" s="20" t="s">
        <v>59</v>
      </c>
      <c r="T68" s="20">
        <f>DEVSQ($C$14:$Q$19)</f>
        <v>24740.499999999982</v>
      </c>
      <c r="U68" s="20">
        <f>$F$51*$H$51*$J$51-1</f>
        <v>89</v>
      </c>
      <c r="V68" s="20"/>
      <c r="W68" s="20"/>
      <c r="X68" s="20"/>
    </row>
    <row r="69" spans="3:25" ht="17" thickBot="1">
      <c r="S69" s="24" t="s">
        <v>60</v>
      </c>
      <c r="T69" s="25">
        <f>SUM(T63:T66)</f>
        <v>24740.500000000004</v>
      </c>
      <c r="U69" s="25">
        <f>SUM(U63:U66)</f>
        <v>89</v>
      </c>
      <c r="V69" s="24"/>
      <c r="W69" s="24"/>
      <c r="X69" s="24"/>
    </row>
    <row r="71" spans="3:25">
      <c r="S71" t="s">
        <v>63</v>
      </c>
    </row>
    <row r="76" spans="3:25">
      <c r="S76" s="7" t="s">
        <v>72</v>
      </c>
    </row>
    <row r="77" spans="3:25">
      <c r="T77" t="s">
        <v>67</v>
      </c>
      <c r="U77" s="8">
        <f>SQRT(V65/(H51*J51))</f>
        <v>3.873150693724206</v>
      </c>
      <c r="V77" t="s">
        <v>78</v>
      </c>
    </row>
    <row r="78" spans="3:25" ht="17" thickBot="1">
      <c r="S78" s="1"/>
      <c r="T78" s="1"/>
      <c r="U78" s="1"/>
      <c r="V78" s="1"/>
      <c r="W78" s="1"/>
      <c r="X78" s="1"/>
      <c r="Y78" s="1"/>
    </row>
    <row r="79" spans="3:25" ht="55" customHeight="1" thickTop="1">
      <c r="S79" t="s">
        <v>79</v>
      </c>
      <c r="T79" s="122" t="s">
        <v>4</v>
      </c>
      <c r="U79" s="123" t="s">
        <v>80</v>
      </c>
      <c r="V79" s="124" t="s">
        <v>6</v>
      </c>
      <c r="W79" s="166" t="s">
        <v>73</v>
      </c>
      <c r="X79" s="167"/>
      <c r="Y79" s="167"/>
    </row>
    <row r="80" spans="3:25">
      <c r="S80" s="5" t="s">
        <v>74</v>
      </c>
      <c r="T80" s="49">
        <v>1</v>
      </c>
      <c r="U80" s="49">
        <v>2</v>
      </c>
      <c r="V80" s="49">
        <v>3</v>
      </c>
      <c r="W80" s="50" t="s">
        <v>75</v>
      </c>
      <c r="X80" s="49" t="s">
        <v>76</v>
      </c>
      <c r="Y80" s="49" t="s">
        <v>77</v>
      </c>
    </row>
    <row r="81" spans="19:35">
      <c r="T81" s="3">
        <f>O22</f>
        <v>60.033333333333331</v>
      </c>
      <c r="U81" s="3">
        <f>J22</f>
        <v>78.7</v>
      </c>
      <c r="V81" s="3">
        <f>E22</f>
        <v>79.766666666666666</v>
      </c>
    </row>
    <row r="82" spans="19:35">
      <c r="T82" s="51">
        <f>V81-T81</f>
        <v>19.733333333333334</v>
      </c>
      <c r="W82">
        <v>3</v>
      </c>
      <c r="X82">
        <v>3.7730000000000001</v>
      </c>
      <c r="Y82" s="8">
        <f>X82*$U$77</f>
        <v>14.61339756742143</v>
      </c>
    </row>
    <row r="83" spans="19:35">
      <c r="T83" s="51">
        <f>U81-T81</f>
        <v>18.666666666666671</v>
      </c>
      <c r="U83" s="8">
        <f>V81-U81</f>
        <v>1.0666666666666629</v>
      </c>
      <c r="W83">
        <v>2</v>
      </c>
      <c r="X83">
        <v>3.0819999999999999</v>
      </c>
      <c r="Y83" s="8">
        <f>X83*$U$77</f>
        <v>11.937050438058002</v>
      </c>
    </row>
    <row r="84" spans="19:35">
      <c r="S84" s="5"/>
      <c r="T84" s="5"/>
      <c r="U84" s="5"/>
      <c r="V84" s="5"/>
      <c r="W84" s="5"/>
      <c r="X84" s="5"/>
      <c r="Y84" s="5"/>
    </row>
    <row r="88" spans="19:35" ht="17" thickBot="1">
      <c r="S88" s="7" t="s">
        <v>207</v>
      </c>
    </row>
    <row r="89" spans="19:35">
      <c r="S89" s="17" t="s">
        <v>49</v>
      </c>
      <c r="T89" s="163" t="s">
        <v>50</v>
      </c>
      <c r="U89" s="163"/>
      <c r="V89" s="163" t="s">
        <v>51</v>
      </c>
      <c r="W89" s="163"/>
      <c r="X89" s="163" t="s">
        <v>52</v>
      </c>
      <c r="Y89" s="163"/>
      <c r="Z89" s="17" t="s">
        <v>53</v>
      </c>
      <c r="AA89" s="17" t="s">
        <v>54</v>
      </c>
    </row>
    <row r="90" spans="19:35">
      <c r="S90" s="18" t="s">
        <v>55</v>
      </c>
      <c r="T90" s="19">
        <f>$H$51*$J$51*DEVSQ($C$22:$Q$22)</f>
        <v>7389.8666666666686</v>
      </c>
      <c r="V90" s="18">
        <f>$F$51-1</f>
        <v>2</v>
      </c>
      <c r="X90" s="20">
        <f>T90/V90</f>
        <v>3694.9333333333343</v>
      </c>
      <c r="Z90" s="21">
        <f>X90/X92</f>
        <v>8.2102534348883438</v>
      </c>
      <c r="AA90" s="131">
        <f>_xlfn.F.DIST.RT(Z90,V90,V92)</f>
        <v>5.6662608201264461E-3</v>
      </c>
      <c r="AB90" s="131"/>
    </row>
    <row r="91" spans="19:35">
      <c r="S91" s="18" t="s">
        <v>56</v>
      </c>
      <c r="T91" s="20"/>
      <c r="V91" s="18"/>
      <c r="X91" s="20"/>
      <c r="Z91" s="21"/>
      <c r="AA91" s="22"/>
    </row>
    <row r="92" spans="19:35" ht="17" thickBot="1">
      <c r="S92" s="18" t="s">
        <v>57</v>
      </c>
      <c r="T92" s="19">
        <f>$J$51*(DEVSQ($C$20:$G$20)+DEVSQ($H$20:$L$20)+DEVSQ($M$20:$Q$20))</f>
        <v>5400.4666666666672</v>
      </c>
      <c r="V92" s="18">
        <f>$F$51*($H$51-1)</f>
        <v>12</v>
      </c>
      <c r="X92" s="20">
        <f>T92/V92</f>
        <v>450.03888888888895</v>
      </c>
      <c r="Z92" s="21">
        <f>X92/X96</f>
        <v>2.8244724620298185</v>
      </c>
      <c r="AA92" s="131">
        <f>_xlfn.F.DIST.RT(Z92,V92,V96)</f>
        <v>3.0493415814849445E-3</v>
      </c>
      <c r="AB92" s="132"/>
    </row>
    <row r="93" spans="19:35">
      <c r="S93" s="134" t="s">
        <v>111</v>
      </c>
      <c r="T93" s="20"/>
      <c r="U93" s="19">
        <f>$J$51*(DEVSQ($C$20:$G$20))</f>
        <v>1582.8666666666672</v>
      </c>
      <c r="V93" s="18"/>
      <c r="W93">
        <f>$H$51-1</f>
        <v>4</v>
      </c>
      <c r="X93" s="18"/>
      <c r="Y93" s="19">
        <f>U93/W93</f>
        <v>395.71666666666681</v>
      </c>
      <c r="Z93" s="18"/>
      <c r="AA93" s="18"/>
      <c r="AC93" s="133" t="s">
        <v>53</v>
      </c>
      <c r="AD93" s="133" t="s">
        <v>112</v>
      </c>
    </row>
    <row r="94" spans="19:35">
      <c r="S94" s="134" t="s">
        <v>110</v>
      </c>
      <c r="U94" s="19">
        <f>$J$51*(DEVSQ($H$20:$L$20))</f>
        <v>662.46666666666601</v>
      </c>
      <c r="W94">
        <f t="shared" ref="W94:W95" si="4">$H$51-1</f>
        <v>4</v>
      </c>
      <c r="Y94" s="19">
        <f t="shared" ref="Y94:Y95" si="5">U94/W94</f>
        <v>165.6166666666665</v>
      </c>
      <c r="AC94">
        <f>$Y$93/$Y$94</f>
        <v>2.3893529234175337</v>
      </c>
      <c r="AD94" s="132">
        <f>_xlfn.F.DIST.RT(AC94,W93,W94)</f>
        <v>0.20978212237454635</v>
      </c>
    </row>
    <row r="95" spans="19:35" ht="17" thickBot="1">
      <c r="S95" s="134" t="s">
        <v>109</v>
      </c>
      <c r="U95" s="19">
        <f>$J$51*DEVSQ($M$20:$Q$20)</f>
        <v>3155.1333333333337</v>
      </c>
      <c r="W95">
        <f t="shared" si="4"/>
        <v>4</v>
      </c>
      <c r="Y95" s="19">
        <f t="shared" si="5"/>
        <v>788.78333333333342</v>
      </c>
      <c r="AC95">
        <f>$Y$95/$Y$93</f>
        <v>1.9933032893905567</v>
      </c>
      <c r="AD95" s="132">
        <f>_xlfn.F.DIST.RT(AC95,W95,W94)</f>
        <v>0.26025413940740988</v>
      </c>
    </row>
    <row r="96" spans="19:35">
      <c r="S96" s="18" t="s">
        <v>58</v>
      </c>
      <c r="T96" s="23">
        <f>SUM($C$58:$Q$58)</f>
        <v>11950.166666666668</v>
      </c>
      <c r="V96" s="18">
        <f>$F$51*$H$51*($J$51-1)</f>
        <v>75</v>
      </c>
      <c r="X96" s="20">
        <f>T96/V96</f>
        <v>159.33555555555557</v>
      </c>
      <c r="Z96" s="20"/>
      <c r="AA96" s="18"/>
      <c r="AC96">
        <f>$Y$95/$Y$94</f>
        <v>4.7627050417631125</v>
      </c>
      <c r="AD96" s="132">
        <f>_xlfn.F.DIST.RT(AC96,W95,W94)</f>
        <v>7.9886753217294201E-2</v>
      </c>
      <c r="AF96" s="133"/>
      <c r="AG96" s="133" t="s">
        <v>86</v>
      </c>
      <c r="AH96" s="133" t="s">
        <v>113</v>
      </c>
      <c r="AI96" s="133" t="s">
        <v>87</v>
      </c>
    </row>
    <row r="97" spans="19:38">
      <c r="S97" s="20" t="s">
        <v>59</v>
      </c>
      <c r="T97" s="20">
        <f>DEVSQ($C$14:$Q$19)</f>
        <v>24740.499999999982</v>
      </c>
      <c r="V97" s="20">
        <f>$F$51*$H$51*$J$51-1</f>
        <v>89</v>
      </c>
      <c r="X97" s="20"/>
      <c r="Z97" s="20"/>
      <c r="AA97" s="20"/>
      <c r="AF97" s="140" t="s">
        <v>115</v>
      </c>
      <c r="AG97" s="136">
        <f>(E22-J22)^2*$H$51*$J$51/(1^2+(-1)^2)</f>
        <v>17.066666666666549</v>
      </c>
      <c r="AH97" s="136">
        <f>AG97/$X$92</f>
        <v>3.7922648659992078E-2</v>
      </c>
      <c r="AI97" s="136">
        <f>_xlfn.F.DIST.RT(AH97,1,$V$92)</f>
        <v>0.84885658620499804</v>
      </c>
    </row>
    <row r="98" spans="19:38" ht="17" thickBot="1">
      <c r="S98" s="24" t="s">
        <v>60</v>
      </c>
      <c r="T98" s="25">
        <f>SUM(T90:T96)</f>
        <v>24740.500000000004</v>
      </c>
      <c r="U98" s="25">
        <f>SUM(U93:U95)</f>
        <v>5400.4666666666672</v>
      </c>
      <c r="V98" s="25">
        <f>SUM(V90:V96)</f>
        <v>89</v>
      </c>
      <c r="W98" s="25"/>
      <c r="X98" s="24"/>
      <c r="Y98" s="24"/>
      <c r="Z98" s="24"/>
      <c r="AA98" s="24"/>
      <c r="AF98" s="141" t="s">
        <v>114</v>
      </c>
      <c r="AG98" s="135">
        <f>(((0.5*E22+0.5*J22)-O22)^2*$H$51*$J$51)/(0.5^2+0.5^2+(-1)^2)</f>
        <v>7372.800000000002</v>
      </c>
      <c r="AH98" s="136">
        <f>AG98/$X$92</f>
        <v>16.382584221116694</v>
      </c>
      <c r="AI98" s="142">
        <f>_xlfn.F.DIST.RT(AH98,1,$V$92)</f>
        <v>1.6174523519328662E-3</v>
      </c>
    </row>
    <row r="111" spans="19:38">
      <c r="AL111" s="27" t="s">
        <v>64</v>
      </c>
    </row>
    <row r="112" spans="19:38">
      <c r="AL112" s="28" t="s">
        <v>121</v>
      </c>
    </row>
  </sheetData>
  <mergeCells count="12">
    <mergeCell ref="C11:G11"/>
    <mergeCell ref="H11:L11"/>
    <mergeCell ref="M11:Q11"/>
    <mergeCell ref="C12:G12"/>
    <mergeCell ref="H12:L12"/>
    <mergeCell ref="M12:Q12"/>
    <mergeCell ref="T89:U89"/>
    <mergeCell ref="V89:W89"/>
    <mergeCell ref="X89:Y89"/>
    <mergeCell ref="X63:Y63"/>
    <mergeCell ref="X65:Y65"/>
    <mergeCell ref="W79:Y79"/>
  </mergeCells>
  <conditionalFormatting sqref="O22 E22 J22:J23 C14:Q20">
    <cfRule type="colorScale" priority="3">
      <colorScale>
        <cfvo type="min"/>
        <cfvo type="percentile" val="50"/>
        <cfvo type="max"/>
        <color rgb="FFF8696B"/>
        <color rgb="FFFFEB84"/>
        <color rgb="FF63BE7B"/>
      </colorScale>
    </cfRule>
  </conditionalFormatting>
  <conditionalFormatting sqref="T81:V81 C14:Q20 E22 O22 J22:J23">
    <cfRule type="colorScale" priority="2">
      <colorScale>
        <cfvo type="min"/>
        <cfvo type="percentile" val="50"/>
        <cfvo type="max"/>
        <color rgb="FFF8696B"/>
        <color rgb="FFFFEB84"/>
        <color rgb="FF63BE7B"/>
      </colorScale>
    </cfRule>
  </conditionalFormatting>
  <conditionalFormatting sqref="D63:F63 C14:Q20 E22 O22 J22:J23 T12:AH12 T14:AH14 T21:AH22 T81:V81">
    <cfRule type="colorScale" priority="5">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8:P154"/>
  <sheetViews>
    <sheetView zoomScaleNormal="100" workbookViewId="0">
      <selection activeCell="A7" sqref="A7"/>
    </sheetView>
  </sheetViews>
  <sheetFormatPr baseColWidth="10" defaultRowHeight="13"/>
  <cols>
    <col min="1" max="1" width="4.83203125" style="32" customWidth="1"/>
    <col min="2" max="2" width="18.5" style="32" customWidth="1"/>
    <col min="3" max="3" width="7.83203125" style="32" customWidth="1"/>
    <col min="4" max="4" width="17.1640625" style="32" customWidth="1"/>
    <col min="5" max="5" width="11.5" style="32" bestFit="1" customWidth="1"/>
    <col min="6" max="16384" width="10.83203125" style="32"/>
  </cols>
  <sheetData>
    <row r="8" spans="2:7">
      <c r="C8" s="32" t="s">
        <v>122</v>
      </c>
      <c r="D8" s="32" t="s">
        <v>123</v>
      </c>
      <c r="E8" s="32" t="s">
        <v>124</v>
      </c>
      <c r="F8" s="32" t="s">
        <v>125</v>
      </c>
      <c r="G8" s="32" t="s">
        <v>126</v>
      </c>
    </row>
    <row r="9" spans="2:7">
      <c r="B9" s="125" t="s">
        <v>6</v>
      </c>
      <c r="C9" s="32">
        <v>82</v>
      </c>
      <c r="D9" s="32">
        <v>79</v>
      </c>
      <c r="E9" s="32">
        <v>90</v>
      </c>
      <c r="F9" s="32">
        <v>75</v>
      </c>
      <c r="G9" s="32">
        <v>38</v>
      </c>
    </row>
    <row r="10" spans="2:7">
      <c r="B10" s="125"/>
      <c r="C10" s="32">
        <v>67</v>
      </c>
      <c r="D10" s="32">
        <v>84</v>
      </c>
      <c r="E10" s="32">
        <v>100</v>
      </c>
      <c r="F10" s="32">
        <v>93</v>
      </c>
      <c r="G10" s="32">
        <v>64</v>
      </c>
    </row>
    <row r="11" spans="2:7">
      <c r="B11" s="125"/>
      <c r="C11" s="32">
        <v>73</v>
      </c>
      <c r="D11" s="32">
        <v>70</v>
      </c>
      <c r="E11" s="32">
        <v>65</v>
      </c>
      <c r="F11" s="32">
        <v>99</v>
      </c>
      <c r="G11" s="32">
        <v>80</v>
      </c>
    </row>
    <row r="12" spans="2:7">
      <c r="B12" s="125"/>
      <c r="C12" s="32">
        <v>70</v>
      </c>
      <c r="D12" s="32">
        <v>71</v>
      </c>
      <c r="E12" s="32">
        <v>99</v>
      </c>
      <c r="F12" s="32">
        <v>95</v>
      </c>
      <c r="G12" s="32">
        <v>74</v>
      </c>
    </row>
    <row r="13" spans="2:7">
      <c r="B13" s="125"/>
      <c r="C13" s="32">
        <v>83</v>
      </c>
      <c r="D13" s="32">
        <v>67</v>
      </c>
      <c r="E13" s="32">
        <v>84</v>
      </c>
      <c r="F13" s="32">
        <v>92</v>
      </c>
      <c r="G13" s="32">
        <v>87</v>
      </c>
    </row>
    <row r="14" spans="2:7">
      <c r="B14" s="125"/>
      <c r="C14" s="32">
        <v>95</v>
      </c>
      <c r="D14" s="32">
        <v>80</v>
      </c>
      <c r="E14" s="32">
        <v>63</v>
      </c>
      <c r="F14" s="32">
        <v>95</v>
      </c>
      <c r="G14" s="32">
        <v>79</v>
      </c>
    </row>
    <row r="15" spans="2:7">
      <c r="B15" s="125" t="s">
        <v>5</v>
      </c>
      <c r="C15" s="32">
        <v>92</v>
      </c>
      <c r="D15" s="32">
        <v>62</v>
      </c>
      <c r="E15" s="32">
        <v>67</v>
      </c>
      <c r="F15" s="32">
        <v>95</v>
      </c>
      <c r="G15" s="32">
        <v>70</v>
      </c>
    </row>
    <row r="16" spans="2:7">
      <c r="B16" s="125"/>
      <c r="C16" s="32">
        <v>80</v>
      </c>
      <c r="D16" s="32">
        <v>97</v>
      </c>
      <c r="E16" s="32">
        <v>64</v>
      </c>
      <c r="F16" s="32">
        <v>93</v>
      </c>
      <c r="G16" s="32">
        <v>62</v>
      </c>
    </row>
    <row r="17" spans="2:7">
      <c r="B17" s="125"/>
      <c r="C17" s="32">
        <v>83</v>
      </c>
      <c r="D17" s="32">
        <v>63</v>
      </c>
      <c r="E17" s="32">
        <v>85</v>
      </c>
      <c r="F17" s="32">
        <v>100</v>
      </c>
      <c r="G17" s="32">
        <v>77</v>
      </c>
    </row>
    <row r="18" spans="2:7">
      <c r="B18" s="125"/>
      <c r="C18" s="32">
        <v>77</v>
      </c>
      <c r="D18" s="32">
        <v>77</v>
      </c>
      <c r="E18" s="32">
        <v>83</v>
      </c>
      <c r="F18" s="32">
        <v>80</v>
      </c>
      <c r="G18" s="32">
        <v>80</v>
      </c>
    </row>
    <row r="19" spans="2:7">
      <c r="B19" s="125"/>
      <c r="C19" s="32">
        <v>52</v>
      </c>
      <c r="D19" s="32">
        <v>88</v>
      </c>
      <c r="E19" s="32">
        <v>79</v>
      </c>
      <c r="F19" s="32">
        <v>83</v>
      </c>
      <c r="G19" s="32">
        <v>71</v>
      </c>
    </row>
    <row r="20" spans="2:7">
      <c r="B20" s="125"/>
      <c r="C20" s="32">
        <v>73</v>
      </c>
      <c r="D20" s="32">
        <v>77</v>
      </c>
      <c r="E20" s="32">
        <v>88</v>
      </c>
      <c r="F20" s="32">
        <v>76</v>
      </c>
      <c r="G20" s="32">
        <v>87</v>
      </c>
    </row>
    <row r="21" spans="2:7">
      <c r="B21" s="125" t="s">
        <v>4</v>
      </c>
      <c r="C21" s="32">
        <v>74</v>
      </c>
      <c r="D21" s="32">
        <v>47</v>
      </c>
      <c r="E21" s="32">
        <v>60</v>
      </c>
      <c r="F21" s="32">
        <v>43</v>
      </c>
      <c r="G21" s="32">
        <v>47</v>
      </c>
    </row>
    <row r="22" spans="2:7">
      <c r="B22" s="125"/>
      <c r="C22" s="32">
        <v>76</v>
      </c>
      <c r="D22" s="32">
        <v>71</v>
      </c>
      <c r="E22" s="32">
        <v>88</v>
      </c>
      <c r="F22" s="32">
        <v>53</v>
      </c>
      <c r="G22" s="32">
        <v>44</v>
      </c>
    </row>
    <row r="23" spans="2:7">
      <c r="B23" s="125"/>
      <c r="C23" s="32">
        <v>72</v>
      </c>
      <c r="D23" s="32">
        <v>54</v>
      </c>
      <c r="E23" s="32">
        <v>86</v>
      </c>
      <c r="F23" s="32">
        <v>48</v>
      </c>
      <c r="G23" s="32">
        <v>16</v>
      </c>
    </row>
    <row r="24" spans="2:7">
      <c r="B24" s="125"/>
      <c r="C24" s="32">
        <v>71</v>
      </c>
      <c r="D24" s="32">
        <v>56</v>
      </c>
      <c r="E24" s="32">
        <v>84</v>
      </c>
      <c r="F24" s="32">
        <v>79</v>
      </c>
      <c r="G24" s="32">
        <v>43</v>
      </c>
    </row>
    <row r="25" spans="2:7">
      <c r="B25" s="125"/>
      <c r="C25" s="32">
        <v>60</v>
      </c>
      <c r="D25" s="32">
        <v>77</v>
      </c>
      <c r="E25" s="32">
        <v>45</v>
      </c>
      <c r="F25" s="32">
        <v>70</v>
      </c>
      <c r="G25" s="32">
        <v>49</v>
      </c>
    </row>
    <row r="26" spans="2:7">
      <c r="B26" s="125"/>
      <c r="C26" s="32">
        <v>74</v>
      </c>
      <c r="D26" s="32">
        <v>66</v>
      </c>
      <c r="E26" s="32">
        <v>48</v>
      </c>
      <c r="F26" s="32">
        <v>45</v>
      </c>
      <c r="G26" s="32">
        <v>55</v>
      </c>
    </row>
    <row r="51" spans="2:8" ht="16">
      <c r="B51" s="52" t="s">
        <v>81</v>
      </c>
      <c r="C51" s="52"/>
      <c r="D51" s="52"/>
      <c r="E51" s="52"/>
      <c r="F51" s="52"/>
      <c r="G51" s="52"/>
      <c r="H51" s="52"/>
    </row>
    <row r="52" spans="2:8" ht="16">
      <c r="B52" s="52"/>
      <c r="C52" s="52"/>
      <c r="D52" s="52"/>
      <c r="E52" s="52"/>
      <c r="F52" s="52"/>
      <c r="G52" s="52"/>
      <c r="H52" s="52"/>
    </row>
    <row r="53" spans="2:8" ht="16">
      <c r="B53" s="52" t="s">
        <v>82</v>
      </c>
      <c r="C53" s="52" t="s">
        <v>122</v>
      </c>
      <c r="D53" s="52" t="s">
        <v>123</v>
      </c>
      <c r="E53" s="52" t="s">
        <v>124</v>
      </c>
      <c r="F53" s="52" t="s">
        <v>125</v>
      </c>
      <c r="G53" s="52" t="s">
        <v>126</v>
      </c>
      <c r="H53" s="52" t="s">
        <v>83</v>
      </c>
    </row>
    <row r="54" spans="2:8" ht="16" thickBot="1">
      <c r="B54" s="128" t="s">
        <v>6</v>
      </c>
      <c r="C54" s="53"/>
      <c r="D54" s="53"/>
      <c r="E54" s="53"/>
      <c r="F54" s="53"/>
      <c r="G54" s="53"/>
      <c r="H54" s="53"/>
    </row>
    <row r="55" spans="2:8" ht="16">
      <c r="B55" s="52" t="s">
        <v>22</v>
      </c>
      <c r="C55" s="52">
        <v>6</v>
      </c>
      <c r="D55" s="52">
        <v>6</v>
      </c>
      <c r="E55" s="52">
        <v>6</v>
      </c>
      <c r="F55" s="52">
        <v>6</v>
      </c>
      <c r="G55" s="52">
        <v>6</v>
      </c>
      <c r="H55" s="52">
        <v>30</v>
      </c>
    </row>
    <row r="56" spans="2:8" ht="16">
      <c r="B56" s="52" t="s">
        <v>21</v>
      </c>
      <c r="C56" s="52">
        <v>470</v>
      </c>
      <c r="D56" s="52">
        <v>451</v>
      </c>
      <c r="E56" s="52">
        <v>501</v>
      </c>
      <c r="F56" s="52">
        <v>549</v>
      </c>
      <c r="G56" s="52">
        <v>422</v>
      </c>
      <c r="H56" s="52">
        <v>2393</v>
      </c>
    </row>
    <row r="57" spans="2:8" ht="16">
      <c r="B57" s="52" t="s">
        <v>10</v>
      </c>
      <c r="C57" s="158">
        <v>78.333333330000002</v>
      </c>
      <c r="D57" s="158">
        <v>75.166666669999998</v>
      </c>
      <c r="E57" s="52">
        <v>83.5</v>
      </c>
      <c r="F57" s="52">
        <v>91.5</v>
      </c>
      <c r="G57" s="158">
        <v>70.333333330000002</v>
      </c>
      <c r="H57" s="158">
        <v>79.766666670000006</v>
      </c>
    </row>
    <row r="58" spans="2:8" ht="16">
      <c r="B58" s="52" t="s">
        <v>15</v>
      </c>
      <c r="C58" s="159">
        <v>107.8666667</v>
      </c>
      <c r="D58" s="158">
        <v>45.366666670000001</v>
      </c>
      <c r="E58" s="159">
        <v>263.5</v>
      </c>
      <c r="F58" s="52">
        <v>71.099999999999994</v>
      </c>
      <c r="G58" s="159">
        <v>309.06666669999998</v>
      </c>
      <c r="H58" s="159">
        <v>191.97816090000001</v>
      </c>
    </row>
    <row r="59" spans="2:8" ht="16">
      <c r="B59" s="52"/>
      <c r="C59" s="52"/>
      <c r="D59" s="52"/>
      <c r="E59" s="52"/>
      <c r="F59" s="52"/>
      <c r="G59" s="52"/>
      <c r="H59" s="52"/>
    </row>
    <row r="60" spans="2:8" ht="16" thickBot="1">
      <c r="B60" s="129" t="s">
        <v>5</v>
      </c>
      <c r="C60" s="53"/>
      <c r="D60" s="53"/>
      <c r="E60" s="53"/>
      <c r="F60" s="53"/>
      <c r="G60" s="53"/>
      <c r="H60" s="53"/>
    </row>
    <row r="61" spans="2:8" ht="16">
      <c r="B61" s="52" t="s">
        <v>22</v>
      </c>
      <c r="C61" s="52">
        <v>6</v>
      </c>
      <c r="D61" s="52">
        <v>6</v>
      </c>
      <c r="E61" s="52">
        <v>6</v>
      </c>
      <c r="F61" s="52">
        <v>6</v>
      </c>
      <c r="G61" s="52">
        <v>6</v>
      </c>
      <c r="H61" s="52">
        <v>30</v>
      </c>
    </row>
    <row r="62" spans="2:8" ht="16">
      <c r="B62" s="52" t="s">
        <v>21</v>
      </c>
      <c r="C62" s="52">
        <v>457</v>
      </c>
      <c r="D62" s="52">
        <v>464</v>
      </c>
      <c r="E62" s="52">
        <v>466</v>
      </c>
      <c r="F62" s="52">
        <v>527</v>
      </c>
      <c r="G62" s="52">
        <v>447</v>
      </c>
      <c r="H62" s="52">
        <v>2361</v>
      </c>
    </row>
    <row r="63" spans="2:8" ht="16">
      <c r="B63" s="52" t="s">
        <v>10</v>
      </c>
      <c r="C63" s="52">
        <v>76.166666669999998</v>
      </c>
      <c r="D63" s="52">
        <v>77.333333330000002</v>
      </c>
      <c r="E63" s="52">
        <v>77.666666669999998</v>
      </c>
      <c r="F63" s="52">
        <v>87.833333330000002</v>
      </c>
      <c r="G63" s="52">
        <v>74.5</v>
      </c>
      <c r="H63" s="52">
        <v>78.7</v>
      </c>
    </row>
    <row r="64" spans="2:8" ht="16">
      <c r="B64" s="52" t="s">
        <v>15</v>
      </c>
      <c r="C64" s="52">
        <v>181.3666667</v>
      </c>
      <c r="D64" s="52">
        <v>188.2666667</v>
      </c>
      <c r="E64" s="52">
        <v>98.266666670000006</v>
      </c>
      <c r="F64" s="52">
        <v>90.166666669999998</v>
      </c>
      <c r="G64" s="52">
        <v>76.3</v>
      </c>
      <c r="H64" s="52">
        <v>132.21724140000001</v>
      </c>
    </row>
    <row r="65" spans="2:8" ht="16">
      <c r="B65" s="52"/>
      <c r="C65" s="52"/>
      <c r="D65" s="52"/>
      <c r="E65" s="52"/>
      <c r="F65" s="52"/>
      <c r="G65" s="52"/>
      <c r="H65" s="52"/>
    </row>
    <row r="66" spans="2:8" ht="16" thickBot="1">
      <c r="B66" s="130" t="s">
        <v>4</v>
      </c>
      <c r="C66" s="53"/>
      <c r="D66" s="53"/>
      <c r="E66" s="53"/>
      <c r="F66" s="53"/>
      <c r="G66" s="53"/>
      <c r="H66" s="53"/>
    </row>
    <row r="67" spans="2:8" ht="16">
      <c r="B67" s="52" t="s">
        <v>22</v>
      </c>
      <c r="C67" s="52">
        <v>6</v>
      </c>
      <c r="D67" s="52">
        <v>6</v>
      </c>
      <c r="E67" s="52">
        <v>6</v>
      </c>
      <c r="F67" s="52">
        <v>6</v>
      </c>
      <c r="G67" s="52">
        <v>6</v>
      </c>
      <c r="H67" s="52">
        <v>30</v>
      </c>
    </row>
    <row r="68" spans="2:8" ht="16">
      <c r="B68" s="52" t="s">
        <v>21</v>
      </c>
      <c r="C68" s="52">
        <v>427</v>
      </c>
      <c r="D68" s="52">
        <v>371</v>
      </c>
      <c r="E68" s="52">
        <v>411</v>
      </c>
      <c r="F68" s="52">
        <v>338</v>
      </c>
      <c r="G68" s="52">
        <v>254</v>
      </c>
      <c r="H68" s="52">
        <v>1801</v>
      </c>
    </row>
    <row r="69" spans="2:8" ht="16">
      <c r="B69" s="52" t="s">
        <v>10</v>
      </c>
      <c r="C69" s="52">
        <v>71.166666669999998</v>
      </c>
      <c r="D69" s="52">
        <v>61.833333330000002</v>
      </c>
      <c r="E69" s="52">
        <v>68.5</v>
      </c>
      <c r="F69" s="52">
        <v>56.333333330000002</v>
      </c>
      <c r="G69" s="52">
        <v>42.333333330000002</v>
      </c>
      <c r="H69" s="52">
        <v>60.033333329999998</v>
      </c>
    </row>
    <row r="70" spans="2:8" ht="16">
      <c r="B70" s="52" t="s">
        <v>15</v>
      </c>
      <c r="C70" s="52">
        <v>32.966666670000002</v>
      </c>
      <c r="D70" s="52">
        <v>129.3666667</v>
      </c>
      <c r="E70" s="52">
        <v>394.3</v>
      </c>
      <c r="F70" s="52">
        <v>217.46666669999999</v>
      </c>
      <c r="G70" s="52">
        <v>184.66666670000001</v>
      </c>
      <c r="H70" s="52">
        <v>274.10229889999999</v>
      </c>
    </row>
    <row r="71" spans="2:8" ht="16">
      <c r="B71" s="52"/>
      <c r="C71" s="52"/>
      <c r="D71" s="52"/>
      <c r="E71" s="52"/>
      <c r="F71" s="52"/>
      <c r="G71" s="52"/>
      <c r="H71" s="52"/>
    </row>
    <row r="72" spans="2:8" ht="17" thickBot="1">
      <c r="B72" s="53" t="s">
        <v>83</v>
      </c>
      <c r="C72" s="53"/>
      <c r="D72" s="53"/>
      <c r="E72" s="53"/>
      <c r="F72" s="53"/>
      <c r="G72" s="52"/>
      <c r="H72" s="52"/>
    </row>
    <row r="73" spans="2:8" ht="16">
      <c r="B73" s="52" t="s">
        <v>22</v>
      </c>
      <c r="C73" s="52">
        <v>18</v>
      </c>
      <c r="D73" s="52">
        <v>18</v>
      </c>
      <c r="E73" s="52">
        <v>18</v>
      </c>
      <c r="F73" s="52">
        <v>18</v>
      </c>
      <c r="G73" s="52">
        <v>18</v>
      </c>
      <c r="H73" s="52"/>
    </row>
    <row r="74" spans="2:8" ht="16">
      <c r="B74" s="52" t="s">
        <v>21</v>
      </c>
      <c r="C74" s="52">
        <v>1354</v>
      </c>
      <c r="D74" s="52">
        <v>1286</v>
      </c>
      <c r="E74" s="52">
        <v>1378</v>
      </c>
      <c r="F74" s="52">
        <v>1414</v>
      </c>
      <c r="G74" s="52">
        <v>1123</v>
      </c>
      <c r="H74" s="52"/>
    </row>
    <row r="75" spans="2:8" ht="16">
      <c r="B75" s="52" t="s">
        <v>10</v>
      </c>
      <c r="C75" s="52">
        <v>75.222222220000006</v>
      </c>
      <c r="D75" s="52">
        <v>71.444444439999998</v>
      </c>
      <c r="E75" s="52">
        <v>76.555555560000002</v>
      </c>
      <c r="F75" s="52">
        <v>78.555555560000002</v>
      </c>
      <c r="G75" s="52">
        <v>62.388888889999997</v>
      </c>
      <c r="H75" s="52"/>
    </row>
    <row r="76" spans="2:8" ht="16">
      <c r="B76" s="52" t="s">
        <v>15</v>
      </c>
      <c r="C76" s="52">
        <v>104.3006536</v>
      </c>
      <c r="D76" s="52">
        <v>156.49673200000001</v>
      </c>
      <c r="E76" s="52">
        <v>262.73202609999998</v>
      </c>
      <c r="F76" s="52">
        <v>375.20261440000002</v>
      </c>
      <c r="G76" s="52">
        <v>383.66339870000002</v>
      </c>
      <c r="H76" s="52"/>
    </row>
    <row r="77" spans="2:8" ht="16">
      <c r="B77" s="52"/>
      <c r="C77" s="52"/>
      <c r="D77" s="52"/>
      <c r="E77" s="52"/>
      <c r="F77" s="52"/>
      <c r="G77" s="52"/>
      <c r="H77" s="52"/>
    </row>
    <row r="78" spans="2:8" ht="16">
      <c r="B78" s="52"/>
      <c r="C78" s="52"/>
      <c r="D78" s="52"/>
      <c r="E78" s="52"/>
      <c r="F78" s="52"/>
      <c r="G78" s="52"/>
      <c r="H78" s="52"/>
    </row>
    <row r="79" spans="2:8" ht="17" thickBot="1">
      <c r="B79" s="52" t="s">
        <v>70</v>
      </c>
      <c r="C79" s="52"/>
      <c r="D79" s="52"/>
      <c r="E79" s="52"/>
      <c r="F79" s="52"/>
      <c r="G79" s="52"/>
      <c r="H79" s="52"/>
    </row>
    <row r="80" spans="2:8" ht="16">
      <c r="B80" s="54" t="s">
        <v>84</v>
      </c>
      <c r="C80" s="54" t="s">
        <v>85</v>
      </c>
      <c r="D80" s="54" t="s">
        <v>47</v>
      </c>
      <c r="E80" s="54" t="s">
        <v>86</v>
      </c>
      <c r="F80" s="54" t="s">
        <v>53</v>
      </c>
      <c r="G80" s="54" t="s">
        <v>87</v>
      </c>
      <c r="H80" s="54" t="s">
        <v>88</v>
      </c>
    </row>
    <row r="81" spans="2:8" ht="16">
      <c r="B81" s="52" t="s">
        <v>89</v>
      </c>
      <c r="C81" s="52">
        <v>7389.8666670000002</v>
      </c>
      <c r="D81" s="52">
        <v>2</v>
      </c>
      <c r="E81" s="52">
        <v>3694.9333329999999</v>
      </c>
      <c r="F81" s="52">
        <v>23.189634730000002</v>
      </c>
      <c r="G81" s="55">
        <v>1.4433700000000001E-8</v>
      </c>
      <c r="H81" s="52">
        <v>3.1186421279999998</v>
      </c>
    </row>
    <row r="82" spans="2:8" ht="16">
      <c r="B82" s="52" t="s">
        <v>90</v>
      </c>
      <c r="C82" s="52">
        <v>2939.7777780000001</v>
      </c>
      <c r="D82" s="52">
        <v>4</v>
      </c>
      <c r="E82" s="52">
        <v>734.94444439999995</v>
      </c>
      <c r="F82" s="52">
        <v>4.6125577050000004</v>
      </c>
      <c r="G82" s="52">
        <v>2.2004279999999999E-3</v>
      </c>
      <c r="H82" s="52">
        <v>2.4936960039999998</v>
      </c>
    </row>
    <row r="83" spans="2:8" ht="16">
      <c r="B83" s="52" t="s">
        <v>91</v>
      </c>
      <c r="C83" s="52">
        <v>2460.688889</v>
      </c>
      <c r="D83" s="52">
        <v>8</v>
      </c>
      <c r="E83" s="52">
        <v>307.58611109999998</v>
      </c>
      <c r="F83" s="52">
        <v>1.930429841</v>
      </c>
      <c r="G83" s="52">
        <v>6.7632232E-2</v>
      </c>
      <c r="H83" s="52">
        <v>2.0644393430000001</v>
      </c>
    </row>
    <row r="84" spans="2:8" ht="16">
      <c r="B84" s="52" t="s">
        <v>92</v>
      </c>
      <c r="C84" s="52">
        <v>11950.166670000001</v>
      </c>
      <c r="D84" s="52">
        <v>75</v>
      </c>
      <c r="E84" s="52">
        <v>159.33555559999999</v>
      </c>
      <c r="F84" s="52"/>
      <c r="G84" s="52"/>
      <c r="H84" s="52"/>
    </row>
    <row r="85" spans="2:8" ht="16">
      <c r="B85" s="52"/>
      <c r="C85" s="52"/>
      <c r="D85" s="52"/>
      <c r="E85" s="52"/>
      <c r="F85" s="52"/>
      <c r="G85" s="52"/>
      <c r="H85" s="52"/>
    </row>
    <row r="86" spans="2:8" ht="17" thickBot="1">
      <c r="B86" s="56" t="s">
        <v>83</v>
      </c>
      <c r="C86" s="56">
        <v>24740.5</v>
      </c>
      <c r="D86" s="56">
        <v>89</v>
      </c>
      <c r="E86" s="56"/>
      <c r="F86" s="56"/>
      <c r="G86" s="56"/>
      <c r="H86" s="56"/>
    </row>
    <row r="89" spans="2:8" ht="14" thickBot="1">
      <c r="B89" s="34" t="s">
        <v>71</v>
      </c>
    </row>
    <row r="90" spans="2:8">
      <c r="B90" s="33" t="s">
        <v>49</v>
      </c>
      <c r="C90" s="33" t="s">
        <v>50</v>
      </c>
      <c r="D90" s="33" t="s">
        <v>51</v>
      </c>
      <c r="E90" s="33" t="s">
        <v>52</v>
      </c>
      <c r="F90" s="33" t="s">
        <v>53</v>
      </c>
      <c r="G90" s="33" t="s">
        <v>54</v>
      </c>
    </row>
    <row r="91" spans="2:8">
      <c r="B91" s="35" t="s">
        <v>55</v>
      </c>
      <c r="C91" s="36">
        <v>7389.8666666666395</v>
      </c>
      <c r="D91" s="35">
        <v>2</v>
      </c>
      <c r="E91" s="36">
        <v>3694.9333333333198</v>
      </c>
      <c r="F91" s="37">
        <f>E91/E93</f>
        <v>8.2102534343815492</v>
      </c>
      <c r="G91" s="38">
        <f>_xlfn.F.DIST.RT(F91,D91,D93)</f>
        <v>5.6662608213389329E-3</v>
      </c>
    </row>
    <row r="92" spans="2:8">
      <c r="B92" s="35" t="s">
        <v>56</v>
      </c>
      <c r="C92" s="36"/>
      <c r="D92" s="35"/>
      <c r="E92" s="36"/>
      <c r="F92" s="37"/>
      <c r="G92" s="39"/>
    </row>
    <row r="93" spans="2:8">
      <c r="B93" s="35" t="s">
        <v>57</v>
      </c>
      <c r="C93" s="36">
        <f>C82+C83</f>
        <v>5400.4666670000006</v>
      </c>
      <c r="D93" s="35">
        <f>D82+D83</f>
        <v>12</v>
      </c>
      <c r="E93" s="36">
        <f>C93/D93</f>
        <v>450.03888891666674</v>
      </c>
      <c r="F93" s="37">
        <f>E93/E94</f>
        <v>2.8244724622041488</v>
      </c>
      <c r="G93" s="39">
        <f>_xlfn.F.DIST.RT(F93,D93,D94)</f>
        <v>3.0493415798738036E-3</v>
      </c>
    </row>
    <row r="94" spans="2:8">
      <c r="B94" s="35" t="s">
        <v>58</v>
      </c>
      <c r="C94" s="36">
        <v>11950.166666666686</v>
      </c>
      <c r="D94" s="35">
        <v>75</v>
      </c>
      <c r="E94" s="36">
        <v>159.33555555555583</v>
      </c>
      <c r="F94" s="36"/>
      <c r="G94" s="35"/>
    </row>
    <row r="95" spans="2:8">
      <c r="B95" s="35"/>
      <c r="C95" s="36"/>
      <c r="D95" s="35"/>
      <c r="E95" s="35"/>
      <c r="F95" s="35"/>
      <c r="G95" s="35"/>
    </row>
    <row r="96" spans="2:8" ht="14" thickBot="1">
      <c r="B96" s="40" t="s">
        <v>59</v>
      </c>
      <c r="C96" s="41">
        <f>SUM(C91:C94)</f>
        <v>24740.500000333326</v>
      </c>
      <c r="D96" s="40">
        <f>SUM(D91:D94)</f>
        <v>89</v>
      </c>
      <c r="E96" s="40"/>
      <c r="F96" s="40"/>
      <c r="G96" s="40"/>
    </row>
    <row r="98" spans="2:5" ht="16">
      <c r="B98" t="s">
        <v>63</v>
      </c>
    </row>
    <row r="99" spans="2:5" ht="14" thickBot="1">
      <c r="C99" s="42"/>
      <c r="D99" s="42"/>
      <c r="E99" s="42"/>
    </row>
    <row r="100" spans="2:5" ht="14" thickTop="1">
      <c r="D100" s="43" t="s">
        <v>65</v>
      </c>
    </row>
    <row r="101" spans="2:5">
      <c r="B101" s="44"/>
      <c r="C101" s="126" t="s">
        <v>6</v>
      </c>
      <c r="D101" s="127" t="s">
        <v>5</v>
      </c>
      <c r="E101" s="127" t="s">
        <v>4</v>
      </c>
    </row>
    <row r="102" spans="2:5">
      <c r="B102" s="45" t="s">
        <v>66</v>
      </c>
      <c r="C102" s="46">
        <f>H57</f>
        <v>79.766666670000006</v>
      </c>
      <c r="D102" s="46">
        <f>H63</f>
        <v>78.7</v>
      </c>
      <c r="E102" s="46">
        <f>H69</f>
        <v>60.033333329999998</v>
      </c>
    </row>
    <row r="103" spans="2:5">
      <c r="B103" s="32" t="s">
        <v>67</v>
      </c>
      <c r="C103" s="47">
        <f>SQRT(H58/H55)</f>
        <v>2.5296782463388503</v>
      </c>
      <c r="D103" s="47">
        <f>SQRT(H64/H61)</f>
        <v>2.0993430829666693</v>
      </c>
      <c r="E103" s="47">
        <f>SQRT(H70/H67)</f>
        <v>3.0227046327199534</v>
      </c>
    </row>
    <row r="104" spans="2:5">
      <c r="B104" s="48" t="s">
        <v>68</v>
      </c>
      <c r="C104" s="47">
        <f>TINV(0.05,30-1)</f>
        <v>2.0452296421327048</v>
      </c>
    </row>
    <row r="105" spans="2:5">
      <c r="B105" s="48" t="s">
        <v>69</v>
      </c>
      <c r="C105" s="47">
        <f>$C$104*C103</f>
        <v>5.1737729344704952</v>
      </c>
      <c r="D105" s="47">
        <f>$C$104*D103</f>
        <v>4.29363870228969</v>
      </c>
      <c r="E105" s="47">
        <f>$C$104*E103</f>
        <v>6.1821251142506988</v>
      </c>
    </row>
    <row r="153" spans="16:16">
      <c r="P153" s="27" t="s">
        <v>64</v>
      </c>
    </row>
    <row r="154" spans="16:16">
      <c r="P154" s="28" t="s">
        <v>121</v>
      </c>
    </row>
  </sheetData>
  <conditionalFormatting sqref="C9:G26 C57:H57 C63:H63 C69:H69 C102:E102">
    <cfRule type="colorScale" priority="1">
      <colorScale>
        <cfvo type="min"/>
        <cfvo type="percentile" val="50"/>
        <cfvo type="max"/>
        <color rgb="FFF8696B"/>
        <color rgb="FFFFEB84"/>
        <color rgb="FF63BE7B"/>
      </colorScale>
    </cfRule>
  </conditionalFormatting>
  <pageMargins left="0.7" right="0.7" top="0.75" bottom="0.75" header="0.5" footer="0.5"/>
  <pageSetup paperSize="0" orientation="portrait" horizontalDpi="4294967292" verticalDpi="429496729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8F2D4-3BBA-244D-9E97-664454722A1C}">
  <dimension ref="C3:Q13"/>
  <sheetViews>
    <sheetView workbookViewId="0">
      <selection activeCell="C3" sqref="C3:Q9"/>
    </sheetView>
  </sheetViews>
  <sheetFormatPr baseColWidth="10" defaultRowHeight="16"/>
  <sheetData>
    <row r="3" spans="3:17">
      <c r="C3" t="s">
        <v>24</v>
      </c>
      <c r="D3" t="s">
        <v>25</v>
      </c>
      <c r="E3" t="s">
        <v>26</v>
      </c>
      <c r="F3" t="s">
        <v>27</v>
      </c>
      <c r="G3" t="s">
        <v>28</v>
      </c>
      <c r="H3" t="s">
        <v>29</v>
      </c>
      <c r="I3" t="s">
        <v>30</v>
      </c>
      <c r="J3" t="s">
        <v>31</v>
      </c>
      <c r="K3" t="s">
        <v>32</v>
      </c>
      <c r="L3" t="s">
        <v>33</v>
      </c>
      <c r="M3" t="s">
        <v>34</v>
      </c>
      <c r="N3" t="s">
        <v>35</v>
      </c>
      <c r="O3" t="s">
        <v>36</v>
      </c>
      <c r="P3" t="s">
        <v>37</v>
      </c>
      <c r="Q3" t="s">
        <v>38</v>
      </c>
    </row>
    <row r="4" spans="3:17">
      <c r="C4" s="58">
        <v>82</v>
      </c>
      <c r="D4" s="59">
        <v>79</v>
      </c>
      <c r="E4" s="60">
        <v>90</v>
      </c>
      <c r="F4" s="61">
        <v>75</v>
      </c>
      <c r="G4" s="62">
        <v>38</v>
      </c>
      <c r="H4" s="63">
        <v>92</v>
      </c>
      <c r="I4" s="64">
        <v>62</v>
      </c>
      <c r="J4" s="65">
        <v>67</v>
      </c>
      <c r="K4" s="66">
        <v>95</v>
      </c>
      <c r="L4" s="67">
        <v>70</v>
      </c>
      <c r="M4" s="68">
        <v>74</v>
      </c>
      <c r="N4" s="69">
        <v>47</v>
      </c>
      <c r="O4" s="70">
        <v>60</v>
      </c>
      <c r="P4" s="71">
        <v>43</v>
      </c>
      <c r="Q4" s="69">
        <v>47</v>
      </c>
    </row>
    <row r="5" spans="3:17">
      <c r="C5" s="65">
        <v>67</v>
      </c>
      <c r="D5" s="72">
        <v>84</v>
      </c>
      <c r="E5" s="73">
        <v>100</v>
      </c>
      <c r="F5" s="74">
        <v>93</v>
      </c>
      <c r="G5" s="75">
        <v>64</v>
      </c>
      <c r="H5" s="76">
        <v>80</v>
      </c>
      <c r="I5" s="77">
        <v>97</v>
      </c>
      <c r="J5" s="75">
        <v>64</v>
      </c>
      <c r="K5" s="74">
        <v>93</v>
      </c>
      <c r="L5" s="64">
        <v>62</v>
      </c>
      <c r="M5" s="78">
        <v>76</v>
      </c>
      <c r="N5" s="79">
        <v>71</v>
      </c>
      <c r="O5" s="80">
        <v>88</v>
      </c>
      <c r="P5" s="81">
        <v>53</v>
      </c>
      <c r="Q5" s="82">
        <v>44</v>
      </c>
    </row>
    <row r="6" spans="3:17">
      <c r="C6" s="83">
        <v>73</v>
      </c>
      <c r="D6" s="67">
        <v>70</v>
      </c>
      <c r="E6" s="84">
        <v>65</v>
      </c>
      <c r="F6" s="85">
        <v>99</v>
      </c>
      <c r="G6" s="76">
        <v>80</v>
      </c>
      <c r="H6" s="86">
        <v>83</v>
      </c>
      <c r="I6" s="87">
        <v>63</v>
      </c>
      <c r="J6" s="88">
        <v>85</v>
      </c>
      <c r="K6" s="73">
        <v>100</v>
      </c>
      <c r="L6" s="89">
        <v>77</v>
      </c>
      <c r="M6" s="90">
        <v>72</v>
      </c>
      <c r="N6" s="91">
        <v>54</v>
      </c>
      <c r="O6" s="92">
        <v>86</v>
      </c>
      <c r="P6" s="93">
        <v>48</v>
      </c>
      <c r="Q6" s="94">
        <v>16</v>
      </c>
    </row>
    <row r="7" spans="3:17">
      <c r="C7" s="67">
        <v>70</v>
      </c>
      <c r="D7" s="79">
        <v>71</v>
      </c>
      <c r="E7" s="85">
        <v>99</v>
      </c>
      <c r="F7" s="66">
        <v>95</v>
      </c>
      <c r="G7" s="68">
        <v>74</v>
      </c>
      <c r="H7" s="89">
        <v>77</v>
      </c>
      <c r="I7" s="89">
        <v>77</v>
      </c>
      <c r="J7" s="86">
        <v>83</v>
      </c>
      <c r="K7" s="76">
        <v>80</v>
      </c>
      <c r="L7" s="76">
        <v>80</v>
      </c>
      <c r="M7" s="79">
        <v>71</v>
      </c>
      <c r="N7" s="95">
        <v>56</v>
      </c>
      <c r="O7" s="72">
        <v>84</v>
      </c>
      <c r="P7" s="59">
        <v>79</v>
      </c>
      <c r="Q7" s="71">
        <v>43</v>
      </c>
    </row>
    <row r="8" spans="3:17">
      <c r="C8" s="86">
        <v>83</v>
      </c>
      <c r="D8" s="65">
        <v>67</v>
      </c>
      <c r="E8" s="72">
        <v>84</v>
      </c>
      <c r="F8" s="63">
        <v>92</v>
      </c>
      <c r="G8" s="96">
        <v>87</v>
      </c>
      <c r="H8" s="97">
        <v>52</v>
      </c>
      <c r="I8" s="80">
        <v>88</v>
      </c>
      <c r="J8" s="59">
        <v>79</v>
      </c>
      <c r="K8" s="86">
        <v>83</v>
      </c>
      <c r="L8" s="79">
        <v>71</v>
      </c>
      <c r="M8" s="70">
        <v>60</v>
      </c>
      <c r="N8" s="89">
        <v>77</v>
      </c>
      <c r="O8" s="98">
        <v>45</v>
      </c>
      <c r="P8" s="67">
        <v>70</v>
      </c>
      <c r="Q8" s="99">
        <v>49</v>
      </c>
    </row>
    <row r="9" spans="3:17">
      <c r="C9" s="100">
        <v>95</v>
      </c>
      <c r="D9" s="101">
        <v>80</v>
      </c>
      <c r="E9" s="102">
        <v>63</v>
      </c>
      <c r="F9" s="100">
        <v>95</v>
      </c>
      <c r="G9" s="103">
        <v>79</v>
      </c>
      <c r="H9" s="104">
        <v>73</v>
      </c>
      <c r="I9" s="105">
        <v>77</v>
      </c>
      <c r="J9" s="106">
        <v>88</v>
      </c>
      <c r="K9" s="107">
        <v>76</v>
      </c>
      <c r="L9" s="108">
        <v>87</v>
      </c>
      <c r="M9" s="109">
        <v>74</v>
      </c>
      <c r="N9" s="110">
        <v>66</v>
      </c>
      <c r="O9" s="111">
        <v>48</v>
      </c>
      <c r="P9" s="112">
        <v>45</v>
      </c>
      <c r="Q9" s="113">
        <v>55</v>
      </c>
    </row>
    <row r="10" spans="3:17">
      <c r="C10" s="3">
        <f>AVERAGE(C4:C9)</f>
        <v>78.333333333333329</v>
      </c>
      <c r="D10" s="3">
        <f t="shared" ref="D10:Q10" si="0">AVERAGE(D4:D9)</f>
        <v>75.166666666666671</v>
      </c>
      <c r="E10" s="3">
        <f t="shared" si="0"/>
        <v>83.5</v>
      </c>
      <c r="F10" s="3">
        <f t="shared" si="0"/>
        <v>91.5</v>
      </c>
      <c r="G10" s="3">
        <f t="shared" si="0"/>
        <v>70.333333333333329</v>
      </c>
      <c r="H10" s="3">
        <f t="shared" si="0"/>
        <v>76.166666666666671</v>
      </c>
      <c r="I10" s="3">
        <f t="shared" si="0"/>
        <v>77.333333333333329</v>
      </c>
      <c r="J10" s="3">
        <f t="shared" si="0"/>
        <v>77.666666666666671</v>
      </c>
      <c r="K10" s="3">
        <f t="shared" si="0"/>
        <v>87.833333333333329</v>
      </c>
      <c r="L10" s="3">
        <f t="shared" si="0"/>
        <v>74.5</v>
      </c>
      <c r="M10" s="3">
        <f t="shared" si="0"/>
        <v>71.166666666666671</v>
      </c>
      <c r="N10" s="3">
        <f t="shared" si="0"/>
        <v>61.833333333333336</v>
      </c>
      <c r="O10" s="3">
        <f t="shared" si="0"/>
        <v>68.5</v>
      </c>
      <c r="P10" s="3">
        <f t="shared" si="0"/>
        <v>56.333333333333336</v>
      </c>
      <c r="Q10" s="3">
        <f t="shared" si="0"/>
        <v>42.333333333333336</v>
      </c>
    </row>
    <row r="11" spans="3:17">
      <c r="C11" t="s">
        <v>93</v>
      </c>
      <c r="D11" t="s">
        <v>94</v>
      </c>
      <c r="E11" t="s">
        <v>95</v>
      </c>
      <c r="F11" t="s">
        <v>96</v>
      </c>
      <c r="G11" t="s">
        <v>97</v>
      </c>
      <c r="H11" t="s">
        <v>98</v>
      </c>
      <c r="I11" t="s">
        <v>99</v>
      </c>
      <c r="J11" t="s">
        <v>100</v>
      </c>
      <c r="K11" t="s">
        <v>101</v>
      </c>
      <c r="L11" t="s">
        <v>102</v>
      </c>
      <c r="M11" t="s">
        <v>103</v>
      </c>
      <c r="N11" t="s">
        <v>104</v>
      </c>
      <c r="O11" t="s">
        <v>105</v>
      </c>
      <c r="P11" t="s">
        <v>106</v>
      </c>
      <c r="Q11" t="s">
        <v>107</v>
      </c>
    </row>
    <row r="13" spans="3:17">
      <c r="C13" t="s">
        <v>108</v>
      </c>
    </row>
  </sheetData>
  <conditionalFormatting sqref="C10:Q10">
    <cfRule type="colorScale" priority="3">
      <colorScale>
        <cfvo type="min"/>
        <cfvo type="percentile" val="50"/>
        <cfvo type="max"/>
        <color rgb="FFF8696B"/>
        <color rgb="FFFFEB84"/>
        <color rgb="FF63BE7B"/>
      </colorScale>
    </cfRule>
  </conditionalFormatting>
  <conditionalFormatting sqref="C10:Q10">
    <cfRule type="colorScale" priority="2">
      <colorScale>
        <cfvo type="min"/>
        <cfvo type="percentile" val="50"/>
        <cfvo type="max"/>
        <color rgb="FFF8696B"/>
        <color rgb="FFFFEB84"/>
        <color rgb="FF63BE7B"/>
      </colorScale>
    </cfRule>
  </conditionalFormatting>
  <conditionalFormatting sqref="C10:Q10">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4</vt:i4>
      </vt:variant>
    </vt:vector>
  </HeadingPairs>
  <TitlesOfParts>
    <vt:vector size="4" baseType="lpstr">
      <vt:lpstr>Skiss experimentutformning</vt:lpstr>
      <vt:lpstr>Tabell 9.1, 9.4, 9.5 och 9.6</vt:lpstr>
      <vt:lpstr>Tabell 9.4 alt. II  o R skript</vt:lpstr>
      <vt:lpstr>Blad1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2016-04-03T14:24:03Z</dcterms:created>
  <dcterms:modified xsi:type="dcterms:W3CDTF">2020-01-12T15:10:25Z</dcterms:modified>
</cp:coreProperties>
</file>